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DieseArbeitsmappe4"/>
  <mc:AlternateContent xmlns:mc="http://schemas.openxmlformats.org/markup-compatibility/2006">
    <mc:Choice Requires="x15">
      <x15ac:absPath xmlns:x15ac="http://schemas.microsoft.com/office/spreadsheetml/2010/11/ac" url="C:\Users\noern\Desktop\"/>
    </mc:Choice>
  </mc:AlternateContent>
  <xr:revisionPtr revIDLastSave="0" documentId="8_{3396DEA4-570A-4F51-A32F-23357640C449}" xr6:coauthVersionLast="47" xr6:coauthVersionMax="47" xr10:uidLastSave="{00000000-0000-0000-0000-000000000000}"/>
  <bookViews>
    <workbookView xWindow="1260" yWindow="345" windowWidth="24315" windowHeight="16350" tabRatio="914" xr2:uid="{00000000-000D-0000-FFFF-FFFF00000000}"/>
  </bookViews>
  <sheets>
    <sheet name="Spieltage" sheetId="1" r:id="rId1"/>
    <sheet name="Mannschaften" sheetId="2" r:id="rId2"/>
    <sheet name="Rang" sheetId="3" r:id="rId3"/>
    <sheet name="i1" sheetId="24" r:id="rId4"/>
    <sheet name="i2" sheetId="33" r:id="rId5"/>
  </sheets>
  <definedNames>
    <definedName name="_xlnm.Print_Area" localSheetId="3">'i1'!$A$1:$Z$39</definedName>
    <definedName name="HTML_CodePage">1252</definedName>
    <definedName name="HTML_Control">{"'Tabelle1'!$A$256:$V$299"}</definedName>
    <definedName name="HTML_Description">""</definedName>
    <definedName name="HTML_Email">""</definedName>
    <definedName name="HTML_Header">""</definedName>
    <definedName name="HTML_LastUpdate">"19.02.99"</definedName>
    <definedName name="HTML_LineAfter">FALSE()</definedName>
    <definedName name="HTML_LineBefore">FALSE()</definedName>
    <definedName name="HTML_Name">"Karl-Heinz Nörnberg"</definedName>
    <definedName name="HTML_OBDlg2">TRUE()</definedName>
    <definedName name="HTML_OBDlg4">TRUE()</definedName>
    <definedName name="HTML_OS">0</definedName>
    <definedName name="HTML_PathFile">"D:\Dateien\Homepage\neu\tips.htm"</definedName>
    <definedName name="HTML_Title">"Saison 98-99"</definedName>
    <definedName name="ß01">Mannschaften!$B$1</definedName>
    <definedName name="ß02">Mannschaften!$B$2</definedName>
    <definedName name="ß03">Mannschaften!$B$3</definedName>
    <definedName name="ß04">Mannschaften!$B$4</definedName>
    <definedName name="ß05">Mannschaften!$B$5</definedName>
    <definedName name="ß06">Mannschaften!$B$6</definedName>
    <definedName name="ß07">Mannschaften!$B$7</definedName>
    <definedName name="ß08">Mannschaften!$B$8</definedName>
    <definedName name="ß09">Mannschaften!$B$9</definedName>
    <definedName name="ß10">Mannschaften!$B$10</definedName>
    <definedName name="ß101">Mannschaften!$J$1</definedName>
    <definedName name="ß102">Mannschaften!$J$2</definedName>
    <definedName name="ß103">Mannschaften!$J$3</definedName>
    <definedName name="ß104">Mannschaften!$J$4</definedName>
    <definedName name="ß105">Mannschaften!$J$5</definedName>
    <definedName name="ß106">Mannschaften!$J$6</definedName>
    <definedName name="ß107">Mannschaften!$J$7</definedName>
    <definedName name="ß11">Mannschaften!$B$11</definedName>
    <definedName name="ß12">Mannschaften!$B$12</definedName>
    <definedName name="ß13">Mannschaften!$B$13</definedName>
    <definedName name="ß14">Mannschaften!$B$14</definedName>
    <definedName name="ß15">Mannschaften!$B$15</definedName>
    <definedName name="ß16">Mannschaften!$B$16</definedName>
    <definedName name="ß17">Mannschaften!$B$17</definedName>
    <definedName name="ß18">Mannschaften!$B$18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E251" i="1" l="1"/>
  <c r="E250" i="1"/>
  <c r="E248" i="1"/>
  <c r="E247" i="1"/>
  <c r="E246" i="1"/>
  <c r="E244" i="1"/>
  <c r="E243" i="1"/>
  <c r="C251" i="1"/>
  <c r="C250" i="1"/>
  <c r="C249" i="1"/>
  <c r="C248" i="1"/>
  <c r="C247" i="1"/>
  <c r="C246" i="1"/>
  <c r="C245" i="1"/>
  <c r="C244" i="1"/>
  <c r="C243" i="1"/>
  <c r="E236" i="1"/>
  <c r="E235" i="1"/>
  <c r="E234" i="1"/>
  <c r="E233" i="1"/>
  <c r="E232" i="1"/>
  <c r="E231" i="1"/>
  <c r="E230" i="1"/>
  <c r="E229" i="1"/>
  <c r="E228" i="1"/>
  <c r="C236" i="1"/>
  <c r="C235" i="1"/>
  <c r="C234" i="1"/>
  <c r="C232" i="1"/>
  <c r="C231" i="1"/>
  <c r="C230" i="1"/>
  <c r="C229" i="1"/>
  <c r="C228" i="1"/>
  <c r="E221" i="1"/>
  <c r="E220" i="1"/>
  <c r="E219" i="1"/>
  <c r="E218" i="1"/>
  <c r="E217" i="1"/>
  <c r="E216" i="1"/>
  <c r="E214" i="1"/>
  <c r="E213" i="1"/>
  <c r="C221" i="1"/>
  <c r="C220" i="1"/>
  <c r="C219" i="1"/>
  <c r="C218" i="1"/>
  <c r="C217" i="1"/>
  <c r="C216" i="1"/>
  <c r="C215" i="1"/>
  <c r="C214" i="1"/>
  <c r="C213" i="1"/>
  <c r="E205" i="1"/>
  <c r="E204" i="1"/>
  <c r="E203" i="1"/>
  <c r="E202" i="1"/>
  <c r="E201" i="1"/>
  <c r="E200" i="1"/>
  <c r="E199" i="1"/>
  <c r="E198" i="1"/>
  <c r="C206" i="1"/>
  <c r="C205" i="1"/>
  <c r="C204" i="1"/>
  <c r="C203" i="1"/>
  <c r="C202" i="1"/>
  <c r="C201" i="1"/>
  <c r="C200" i="1"/>
  <c r="C199" i="1"/>
  <c r="C198" i="1"/>
  <c r="E191" i="1"/>
  <c r="E190" i="1"/>
  <c r="E189" i="1"/>
  <c r="E188" i="1"/>
  <c r="E187" i="1"/>
  <c r="E186" i="1"/>
  <c r="E185" i="1"/>
  <c r="E184" i="1"/>
  <c r="E183" i="1"/>
  <c r="C191" i="1"/>
  <c r="C190" i="1"/>
  <c r="C189" i="1"/>
  <c r="C188" i="1"/>
  <c r="C187" i="1"/>
  <c r="C186" i="1"/>
  <c r="C185" i="1"/>
  <c r="C184" i="1"/>
  <c r="C183" i="1"/>
  <c r="E176" i="1"/>
  <c r="E175" i="1"/>
  <c r="E174" i="1"/>
  <c r="E173" i="1"/>
  <c r="E172" i="1"/>
  <c r="E171" i="1"/>
  <c r="E170" i="1"/>
  <c r="E169" i="1"/>
  <c r="E168" i="1"/>
  <c r="C176" i="1"/>
  <c r="C175" i="1"/>
  <c r="C174" i="1"/>
  <c r="C172" i="1"/>
  <c r="C171" i="1"/>
  <c r="C170" i="1"/>
  <c r="C169" i="1"/>
  <c r="C168" i="1"/>
  <c r="E161" i="1"/>
  <c r="E160" i="1"/>
  <c r="E159" i="1"/>
  <c r="E158" i="1"/>
  <c r="E157" i="1"/>
  <c r="E156" i="1"/>
  <c r="E155" i="1"/>
  <c r="E154" i="1"/>
  <c r="E153" i="1"/>
  <c r="C161" i="1"/>
  <c r="C160" i="1"/>
  <c r="C159" i="1"/>
  <c r="C158" i="1"/>
  <c r="C157" i="1"/>
  <c r="C156" i="1"/>
  <c r="C155" i="1"/>
  <c r="C154" i="1"/>
  <c r="C153" i="1"/>
  <c r="E146" i="1"/>
  <c r="E144" i="1"/>
  <c r="E143" i="1"/>
  <c r="E142" i="1"/>
  <c r="E141" i="1"/>
  <c r="E140" i="1"/>
  <c r="E139" i="1"/>
  <c r="E138" i="1"/>
  <c r="C146" i="1"/>
  <c r="C144" i="1"/>
  <c r="C143" i="1"/>
  <c r="C142" i="1"/>
  <c r="C141" i="1"/>
  <c r="C140" i="1"/>
  <c r="C139" i="1"/>
  <c r="C138" i="1"/>
  <c r="E131" i="1"/>
  <c r="E130" i="1"/>
  <c r="E128" i="1"/>
  <c r="E127" i="1"/>
  <c r="E125" i="1"/>
  <c r="E124" i="1"/>
  <c r="E123" i="1"/>
  <c r="C131" i="1"/>
  <c r="C130" i="1"/>
  <c r="C129" i="1"/>
  <c r="C128" i="1"/>
  <c r="C127" i="1"/>
  <c r="C126" i="1"/>
  <c r="C125" i="1"/>
  <c r="C124" i="1"/>
  <c r="C123" i="1"/>
  <c r="E116" i="1"/>
  <c r="E115" i="1"/>
  <c r="E114" i="1"/>
  <c r="E112" i="1"/>
  <c r="E111" i="1"/>
  <c r="E110" i="1"/>
  <c r="E109" i="1"/>
  <c r="E108" i="1"/>
  <c r="C116" i="1"/>
  <c r="C114" i="1"/>
  <c r="C113" i="1"/>
  <c r="C112" i="1"/>
  <c r="C111" i="1"/>
  <c r="C110" i="1"/>
  <c r="C109" i="1"/>
  <c r="C108" i="1"/>
  <c r="E101" i="1"/>
  <c r="E100" i="1"/>
  <c r="E99" i="1"/>
  <c r="E98" i="1"/>
  <c r="E97" i="1"/>
  <c r="E96" i="1"/>
  <c r="E95" i="1"/>
  <c r="E94" i="1"/>
  <c r="E93" i="1"/>
  <c r="C101" i="1"/>
  <c r="C100" i="1"/>
  <c r="C97" i="1"/>
  <c r="C96" i="1"/>
  <c r="C95" i="1"/>
  <c r="C94" i="1"/>
  <c r="E349" i="1" s="1"/>
  <c r="C93" i="1"/>
  <c r="E86" i="1"/>
  <c r="E85" i="1"/>
  <c r="E84" i="1"/>
  <c r="E83" i="1"/>
  <c r="E82" i="1"/>
  <c r="E81" i="1"/>
  <c r="E80" i="1"/>
  <c r="E79" i="1"/>
  <c r="E78" i="1"/>
  <c r="C86" i="1"/>
  <c r="C85" i="1"/>
  <c r="C84" i="1"/>
  <c r="C82" i="1"/>
  <c r="C81" i="1"/>
  <c r="C80" i="1"/>
  <c r="C79" i="1"/>
  <c r="C78" i="1"/>
  <c r="E71" i="1"/>
  <c r="E70" i="1"/>
  <c r="E69" i="1"/>
  <c r="E68" i="1"/>
  <c r="E67" i="1"/>
  <c r="E66" i="1"/>
  <c r="E65" i="1"/>
  <c r="E64" i="1"/>
  <c r="E63" i="1"/>
  <c r="C71" i="1"/>
  <c r="C70" i="1"/>
  <c r="C69" i="1"/>
  <c r="C68" i="1"/>
  <c r="C67" i="1"/>
  <c r="C66" i="1"/>
  <c r="C65" i="1"/>
  <c r="C64" i="1"/>
  <c r="C63" i="1"/>
  <c r="E56" i="1"/>
  <c r="E55" i="1"/>
  <c r="E54" i="1"/>
  <c r="E52" i="1"/>
  <c r="E51" i="1"/>
  <c r="E50" i="1"/>
  <c r="E49" i="1"/>
  <c r="E48" i="1"/>
  <c r="C56" i="1"/>
  <c r="C54" i="1"/>
  <c r="C53" i="1"/>
  <c r="C52" i="1"/>
  <c r="C51" i="1"/>
  <c r="C50" i="1"/>
  <c r="C49" i="1"/>
  <c r="C48" i="1"/>
  <c r="E41" i="1"/>
  <c r="E40" i="1"/>
  <c r="E39" i="1"/>
  <c r="E38" i="1"/>
  <c r="E37" i="1"/>
  <c r="E36" i="1"/>
  <c r="E35" i="1"/>
  <c r="E34" i="1"/>
  <c r="E33" i="1"/>
  <c r="C41" i="1"/>
  <c r="C40" i="1"/>
  <c r="C39" i="1"/>
  <c r="C38" i="1"/>
  <c r="C34" i="1"/>
  <c r="C33" i="1"/>
  <c r="E26" i="1"/>
  <c r="E25" i="1"/>
  <c r="E24" i="1"/>
  <c r="E23" i="1"/>
  <c r="E22" i="1"/>
  <c r="E21" i="1"/>
  <c r="E20" i="1"/>
  <c r="E19" i="1"/>
  <c r="E18" i="1"/>
  <c r="C26" i="1"/>
  <c r="C25" i="1"/>
  <c r="C24" i="1"/>
  <c r="C23" i="1"/>
  <c r="C21" i="1"/>
  <c r="C20" i="1"/>
  <c r="C19" i="1"/>
  <c r="C18" i="1"/>
  <c r="N1" i="2"/>
  <c r="C1" i="1"/>
  <c r="DH504" i="1"/>
  <c r="DH485" i="1"/>
  <c r="DH476" i="1"/>
  <c r="DH471" i="1"/>
  <c r="DH468" i="1"/>
  <c r="DH454" i="1"/>
  <c r="R454" i="1" s="1"/>
  <c r="DH429" i="1"/>
  <c r="DH426" i="1"/>
  <c r="DH415" i="1"/>
  <c r="DH412" i="1"/>
  <c r="DH401" i="1"/>
  <c r="DH393" i="1"/>
  <c r="DH384" i="1"/>
  <c r="DH356" i="1"/>
  <c r="DH351" i="1"/>
  <c r="DH320" i="1"/>
  <c r="DH309" i="1"/>
  <c r="DH295" i="1"/>
  <c r="DH292" i="1"/>
  <c r="DH281" i="1"/>
  <c r="DH278" i="1"/>
  <c r="DH273" i="1"/>
  <c r="DH264" i="1"/>
  <c r="DH250" i="1"/>
  <c r="DH245" i="1"/>
  <c r="DH236" i="1"/>
  <c r="DH231" i="1"/>
  <c r="DH228" i="1"/>
  <c r="DH214" i="1"/>
  <c r="DH200" i="1"/>
  <c r="DH189" i="1"/>
  <c r="DH186" i="1"/>
  <c r="DH175" i="1"/>
  <c r="DH172" i="1"/>
  <c r="DH161" i="1"/>
  <c r="DH153" i="1"/>
  <c r="DH144" i="1"/>
  <c r="DH139" i="1"/>
  <c r="DH130" i="1"/>
  <c r="DH125" i="1"/>
  <c r="DH116" i="1"/>
  <c r="DH111" i="1"/>
  <c r="DH97" i="1"/>
  <c r="DH94" i="1"/>
  <c r="L94" i="1" s="1"/>
  <c r="DH83" i="1"/>
  <c r="DH80" i="1"/>
  <c r="DH69" i="1"/>
  <c r="DH66" i="1"/>
  <c r="DH55" i="1"/>
  <c r="DH52" i="1"/>
  <c r="DH38" i="1"/>
  <c r="DH21" i="1"/>
  <c r="DH26" i="1"/>
  <c r="R26" i="1" s="1"/>
  <c r="DH11" i="1"/>
  <c r="DH8" i="1"/>
  <c r="O1" i="1"/>
  <c r="P5" i="1"/>
  <c r="P7" i="1"/>
  <c r="P8" i="1"/>
  <c r="P9" i="1"/>
  <c r="P10" i="1"/>
  <c r="P11" i="1"/>
  <c r="O16" i="1"/>
  <c r="P18" i="1"/>
  <c r="P19" i="1"/>
  <c r="P20" i="1"/>
  <c r="P21" i="1"/>
  <c r="P22" i="1"/>
  <c r="P23" i="1"/>
  <c r="P24" i="1"/>
  <c r="P25" i="1"/>
  <c r="P26" i="1"/>
  <c r="O31" i="1"/>
  <c r="P33" i="1"/>
  <c r="P34" i="1"/>
  <c r="P35" i="1"/>
  <c r="P36" i="1"/>
  <c r="P37" i="1"/>
  <c r="P38" i="1"/>
  <c r="P39" i="1"/>
  <c r="P40" i="1"/>
  <c r="P41" i="1"/>
  <c r="O46" i="1"/>
  <c r="P48" i="1"/>
  <c r="P49" i="1"/>
  <c r="P50" i="1"/>
  <c r="P51" i="1"/>
  <c r="P52" i="1"/>
  <c r="P53" i="1"/>
  <c r="P54" i="1"/>
  <c r="P55" i="1"/>
  <c r="P56" i="1"/>
  <c r="O61" i="1"/>
  <c r="P63" i="1"/>
  <c r="P64" i="1"/>
  <c r="P65" i="1"/>
  <c r="P66" i="1"/>
  <c r="P67" i="1"/>
  <c r="P68" i="1"/>
  <c r="P69" i="1"/>
  <c r="P70" i="1"/>
  <c r="P71" i="1"/>
  <c r="O76" i="1"/>
  <c r="P78" i="1"/>
  <c r="P79" i="1"/>
  <c r="P80" i="1"/>
  <c r="P81" i="1"/>
  <c r="P82" i="1"/>
  <c r="P83" i="1"/>
  <c r="P84" i="1"/>
  <c r="P85" i="1"/>
  <c r="P86" i="1"/>
  <c r="O91" i="1"/>
  <c r="P93" i="1"/>
  <c r="P94" i="1"/>
  <c r="P95" i="1"/>
  <c r="P96" i="1"/>
  <c r="P97" i="1"/>
  <c r="P98" i="1"/>
  <c r="P99" i="1"/>
  <c r="P100" i="1"/>
  <c r="P101" i="1"/>
  <c r="O106" i="1"/>
  <c r="P108" i="1"/>
  <c r="P109" i="1"/>
  <c r="P110" i="1"/>
  <c r="P111" i="1"/>
  <c r="P112" i="1"/>
  <c r="P113" i="1"/>
  <c r="P114" i="1"/>
  <c r="P115" i="1"/>
  <c r="P116" i="1"/>
  <c r="O121" i="1"/>
  <c r="P123" i="1"/>
  <c r="P124" i="1"/>
  <c r="P125" i="1"/>
  <c r="P126" i="1"/>
  <c r="P127" i="1"/>
  <c r="P128" i="1"/>
  <c r="P129" i="1"/>
  <c r="P130" i="1"/>
  <c r="P131" i="1"/>
  <c r="O136" i="1"/>
  <c r="P138" i="1"/>
  <c r="P139" i="1"/>
  <c r="P140" i="1"/>
  <c r="P141" i="1"/>
  <c r="P142" i="1"/>
  <c r="P143" i="1"/>
  <c r="P144" i="1"/>
  <c r="P145" i="1"/>
  <c r="P146" i="1"/>
  <c r="O151" i="1"/>
  <c r="P153" i="1"/>
  <c r="P154" i="1"/>
  <c r="P155" i="1"/>
  <c r="P156" i="1"/>
  <c r="P157" i="1"/>
  <c r="P158" i="1"/>
  <c r="P159" i="1"/>
  <c r="P160" i="1"/>
  <c r="P161" i="1"/>
  <c r="O166" i="1"/>
  <c r="P168" i="1"/>
  <c r="P169" i="1"/>
  <c r="P170" i="1"/>
  <c r="P171" i="1"/>
  <c r="P172" i="1"/>
  <c r="P173" i="1"/>
  <c r="P174" i="1"/>
  <c r="P175" i="1"/>
  <c r="P176" i="1"/>
  <c r="O181" i="1"/>
  <c r="P183" i="1"/>
  <c r="P184" i="1"/>
  <c r="P185" i="1"/>
  <c r="P186" i="1"/>
  <c r="P187" i="1"/>
  <c r="P188" i="1"/>
  <c r="P189" i="1"/>
  <c r="P190" i="1"/>
  <c r="P191" i="1"/>
  <c r="O196" i="1"/>
  <c r="P198" i="1"/>
  <c r="P199" i="1"/>
  <c r="P200" i="1"/>
  <c r="P201" i="1"/>
  <c r="P202" i="1"/>
  <c r="P203" i="1"/>
  <c r="P204" i="1"/>
  <c r="P205" i="1"/>
  <c r="P206" i="1"/>
  <c r="O211" i="1"/>
  <c r="P213" i="1"/>
  <c r="P214" i="1"/>
  <c r="P215" i="1"/>
  <c r="P216" i="1"/>
  <c r="P217" i="1"/>
  <c r="P218" i="1"/>
  <c r="P219" i="1"/>
  <c r="P220" i="1"/>
  <c r="P221" i="1"/>
  <c r="O226" i="1"/>
  <c r="P228" i="1"/>
  <c r="P229" i="1"/>
  <c r="P230" i="1"/>
  <c r="P231" i="1"/>
  <c r="P232" i="1"/>
  <c r="P233" i="1"/>
  <c r="P234" i="1"/>
  <c r="P235" i="1"/>
  <c r="P236" i="1"/>
  <c r="O241" i="1"/>
  <c r="P243" i="1"/>
  <c r="P244" i="1"/>
  <c r="P245" i="1"/>
  <c r="P246" i="1"/>
  <c r="P247" i="1"/>
  <c r="P248" i="1"/>
  <c r="P249" i="1"/>
  <c r="P250" i="1"/>
  <c r="P251" i="1"/>
  <c r="O256" i="1"/>
  <c r="P258" i="1"/>
  <c r="P259" i="1"/>
  <c r="P260" i="1"/>
  <c r="P261" i="1"/>
  <c r="P262" i="1"/>
  <c r="P263" i="1"/>
  <c r="P264" i="1"/>
  <c r="P265" i="1"/>
  <c r="P266" i="1"/>
  <c r="O271" i="1"/>
  <c r="P273" i="1"/>
  <c r="P274" i="1"/>
  <c r="P275" i="1"/>
  <c r="P276" i="1"/>
  <c r="P277" i="1"/>
  <c r="P278" i="1"/>
  <c r="P279" i="1"/>
  <c r="P280" i="1"/>
  <c r="P281" i="1"/>
  <c r="O286" i="1"/>
  <c r="P288" i="1"/>
  <c r="P289" i="1"/>
  <c r="P290" i="1"/>
  <c r="P291" i="1"/>
  <c r="P292" i="1"/>
  <c r="P293" i="1"/>
  <c r="P294" i="1"/>
  <c r="P295" i="1"/>
  <c r="P296" i="1"/>
  <c r="O301" i="1"/>
  <c r="P303" i="1"/>
  <c r="P304" i="1"/>
  <c r="P305" i="1"/>
  <c r="P306" i="1"/>
  <c r="P307" i="1"/>
  <c r="P308" i="1"/>
  <c r="P309" i="1"/>
  <c r="P310" i="1"/>
  <c r="P311" i="1"/>
  <c r="O316" i="1"/>
  <c r="P318" i="1"/>
  <c r="P319" i="1"/>
  <c r="P320" i="1"/>
  <c r="P321" i="1"/>
  <c r="P322" i="1"/>
  <c r="P323" i="1"/>
  <c r="P324" i="1"/>
  <c r="P325" i="1"/>
  <c r="P326" i="1"/>
  <c r="O331" i="1"/>
  <c r="P333" i="1"/>
  <c r="P334" i="1"/>
  <c r="P335" i="1"/>
  <c r="P336" i="1"/>
  <c r="P337" i="1"/>
  <c r="P338" i="1"/>
  <c r="P339" i="1"/>
  <c r="P340" i="1"/>
  <c r="P341" i="1"/>
  <c r="O346" i="1"/>
  <c r="P348" i="1"/>
  <c r="P349" i="1"/>
  <c r="P350" i="1"/>
  <c r="P351" i="1"/>
  <c r="P352" i="1"/>
  <c r="P353" i="1"/>
  <c r="P354" i="1"/>
  <c r="P355" i="1"/>
  <c r="P356" i="1"/>
  <c r="O361" i="1"/>
  <c r="P363" i="1"/>
  <c r="P364" i="1"/>
  <c r="P365" i="1"/>
  <c r="P366" i="1"/>
  <c r="P367" i="1"/>
  <c r="P368" i="1"/>
  <c r="P369" i="1"/>
  <c r="P370" i="1"/>
  <c r="P371" i="1"/>
  <c r="O376" i="1"/>
  <c r="P378" i="1"/>
  <c r="P379" i="1"/>
  <c r="P380" i="1"/>
  <c r="P381" i="1"/>
  <c r="P382" i="1"/>
  <c r="P383" i="1"/>
  <c r="P384" i="1"/>
  <c r="P385" i="1"/>
  <c r="P386" i="1"/>
  <c r="O391" i="1"/>
  <c r="P393" i="1"/>
  <c r="P394" i="1"/>
  <c r="P395" i="1"/>
  <c r="P396" i="1"/>
  <c r="P397" i="1"/>
  <c r="P398" i="1"/>
  <c r="P399" i="1"/>
  <c r="P400" i="1"/>
  <c r="P401" i="1"/>
  <c r="O406" i="1"/>
  <c r="P408" i="1"/>
  <c r="P409" i="1"/>
  <c r="P410" i="1"/>
  <c r="P411" i="1"/>
  <c r="P412" i="1"/>
  <c r="P413" i="1"/>
  <c r="P414" i="1"/>
  <c r="P415" i="1"/>
  <c r="P416" i="1"/>
  <c r="O421" i="1"/>
  <c r="P423" i="1"/>
  <c r="P424" i="1"/>
  <c r="P425" i="1"/>
  <c r="P426" i="1"/>
  <c r="P427" i="1"/>
  <c r="P428" i="1"/>
  <c r="P429" i="1"/>
  <c r="P430" i="1"/>
  <c r="P431" i="1"/>
  <c r="O436" i="1"/>
  <c r="P438" i="1"/>
  <c r="P439" i="1"/>
  <c r="P440" i="1"/>
  <c r="P441" i="1"/>
  <c r="P442" i="1"/>
  <c r="P443" i="1"/>
  <c r="P444" i="1"/>
  <c r="P445" i="1"/>
  <c r="P446" i="1"/>
  <c r="O451" i="1"/>
  <c r="P453" i="1"/>
  <c r="P454" i="1"/>
  <c r="P455" i="1"/>
  <c r="P456" i="1"/>
  <c r="P457" i="1"/>
  <c r="P458" i="1"/>
  <c r="P459" i="1"/>
  <c r="P460" i="1"/>
  <c r="P461" i="1"/>
  <c r="O466" i="1"/>
  <c r="P468" i="1"/>
  <c r="P469" i="1"/>
  <c r="P470" i="1"/>
  <c r="P471" i="1"/>
  <c r="P472" i="1"/>
  <c r="P473" i="1"/>
  <c r="P474" i="1"/>
  <c r="P475" i="1"/>
  <c r="P476" i="1"/>
  <c r="O481" i="1"/>
  <c r="P483" i="1"/>
  <c r="P484" i="1"/>
  <c r="P485" i="1"/>
  <c r="P486" i="1"/>
  <c r="P487" i="1"/>
  <c r="P488" i="1"/>
  <c r="P489" i="1"/>
  <c r="P490" i="1"/>
  <c r="P491" i="1"/>
  <c r="O496" i="1"/>
  <c r="P498" i="1"/>
  <c r="P499" i="1"/>
  <c r="P500" i="1"/>
  <c r="P501" i="1"/>
  <c r="P502" i="1"/>
  <c r="P503" i="1"/>
  <c r="P504" i="1"/>
  <c r="P505" i="1"/>
  <c r="P506" i="1"/>
  <c r="DG453" i="1"/>
  <c r="L453" i="1" s="1"/>
  <c r="DG454" i="1"/>
  <c r="DG455" i="1"/>
  <c r="L455" i="1" s="1"/>
  <c r="DG456" i="1"/>
  <c r="L456" i="1" s="1"/>
  <c r="DG457" i="1"/>
  <c r="L457" i="1" s="1"/>
  <c r="DG458" i="1"/>
  <c r="DH458" i="1" s="1"/>
  <c r="DG459" i="1"/>
  <c r="L459" i="1" s="1"/>
  <c r="DG460" i="1"/>
  <c r="DG461" i="1"/>
  <c r="L461" i="1" s="1"/>
  <c r="I16" i="1"/>
  <c r="BT108" i="1"/>
  <c r="DG51" i="1"/>
  <c r="J51" i="1" s="1"/>
  <c r="DG33" i="1"/>
  <c r="J33" i="1" s="1"/>
  <c r="DG34" i="1"/>
  <c r="J34" i="1" s="1"/>
  <c r="DG35" i="1"/>
  <c r="J35" i="1" s="1"/>
  <c r="DG36" i="1"/>
  <c r="DH36" i="1" s="1"/>
  <c r="DG37" i="1"/>
  <c r="DH37" i="1" s="1"/>
  <c r="DG38" i="1"/>
  <c r="DG39" i="1"/>
  <c r="J39" i="1" s="1"/>
  <c r="DG40" i="1"/>
  <c r="J40" i="1" s="1"/>
  <c r="DG41" i="1"/>
  <c r="DH41" i="1" s="1"/>
  <c r="J41" i="1"/>
  <c r="E249" i="1"/>
  <c r="E245" i="1"/>
  <c r="C485" i="1"/>
  <c r="E491" i="1"/>
  <c r="E490" i="1"/>
  <c r="E486" i="1"/>
  <c r="E484" i="1"/>
  <c r="E483" i="1"/>
  <c r="C476" i="1"/>
  <c r="C475" i="1"/>
  <c r="C474" i="1"/>
  <c r="C472" i="1"/>
  <c r="E215" i="1"/>
  <c r="C469" i="1"/>
  <c r="E475" i="1"/>
  <c r="E469" i="1"/>
  <c r="E206" i="1"/>
  <c r="C461" i="1" s="1"/>
  <c r="C458" i="1"/>
  <c r="C455" i="1"/>
  <c r="E461" i="1"/>
  <c r="E458" i="1"/>
  <c r="C446" i="1"/>
  <c r="C440" i="1"/>
  <c r="C438" i="1"/>
  <c r="E441" i="1"/>
  <c r="E440" i="1"/>
  <c r="C429" i="1"/>
  <c r="C428" i="1"/>
  <c r="C426" i="1"/>
  <c r="C424" i="1"/>
  <c r="E431" i="1"/>
  <c r="E430" i="1"/>
  <c r="E429" i="1"/>
  <c r="C173" i="1"/>
  <c r="E424" i="1"/>
  <c r="C415" i="1"/>
  <c r="C413" i="1"/>
  <c r="C410" i="1"/>
  <c r="E412" i="1"/>
  <c r="E410" i="1"/>
  <c r="E145" i="1"/>
  <c r="C398" i="1"/>
  <c r="C396" i="1"/>
  <c r="C145" i="1"/>
  <c r="E399" i="1"/>
  <c r="E398" i="1"/>
  <c r="E397" i="1"/>
  <c r="C386" i="1"/>
  <c r="E129" i="1"/>
  <c r="C384" i="1" s="1"/>
  <c r="C382" i="1"/>
  <c r="E126" i="1"/>
  <c r="CF123" i="1"/>
  <c r="E383" i="1"/>
  <c r="E113" i="1"/>
  <c r="C367" i="1"/>
  <c r="E371" i="1"/>
  <c r="C115" i="1"/>
  <c r="E370" i="1" s="1"/>
  <c r="E368" i="1"/>
  <c r="E366" i="1"/>
  <c r="C356" i="1"/>
  <c r="C355" i="1"/>
  <c r="C353" i="1"/>
  <c r="C351" i="1"/>
  <c r="E356" i="1"/>
  <c r="E355" i="1"/>
  <c r="C99" i="1"/>
  <c r="E354" i="1" s="1"/>
  <c r="C98" i="1"/>
  <c r="C339" i="1"/>
  <c r="C335" i="1"/>
  <c r="C334" i="1"/>
  <c r="BW78" i="1"/>
  <c r="E340" i="1"/>
  <c r="E335" i="1"/>
  <c r="C325" i="1"/>
  <c r="C321" i="1"/>
  <c r="C319" i="1"/>
  <c r="C318" i="1"/>
  <c r="E326" i="1"/>
  <c r="E322" i="1"/>
  <c r="E320" i="1"/>
  <c r="C311" i="1"/>
  <c r="E53" i="1"/>
  <c r="C306" i="1"/>
  <c r="C55" i="1"/>
  <c r="E310" i="1" s="1"/>
  <c r="E305" i="1"/>
  <c r="E303" i="1"/>
  <c r="C296" i="1"/>
  <c r="C292" i="1"/>
  <c r="C290" i="1"/>
  <c r="E295" i="1"/>
  <c r="E293" i="1"/>
  <c r="C37" i="1"/>
  <c r="E292" i="1" s="1"/>
  <c r="C36" i="1"/>
  <c r="E291" i="1" s="1"/>
  <c r="C35" i="1"/>
  <c r="E289" i="1"/>
  <c r="C281" i="1"/>
  <c r="C280" i="1"/>
  <c r="C279" i="1"/>
  <c r="C278" i="1"/>
  <c r="C277" i="1"/>
  <c r="C274" i="1"/>
  <c r="C273" i="1"/>
  <c r="E280" i="1"/>
  <c r="E278" i="1"/>
  <c r="C22" i="1"/>
  <c r="E276" i="1"/>
  <c r="E274" i="1"/>
  <c r="E506" i="1"/>
  <c r="E504" i="1"/>
  <c r="C486" i="1"/>
  <c r="C233" i="1"/>
  <c r="E487" i="1"/>
  <c r="E474" i="1"/>
  <c r="E446" i="1"/>
  <c r="C414" i="1"/>
  <c r="E416" i="1"/>
  <c r="E380" i="1"/>
  <c r="E364" i="1"/>
  <c r="C83" i="1"/>
  <c r="E334" i="1"/>
  <c r="C320" i="1"/>
  <c r="E318" i="1"/>
  <c r="E281" i="1"/>
  <c r="E11" i="1"/>
  <c r="C266" i="1" s="1"/>
  <c r="E10" i="1"/>
  <c r="C265" i="1" s="1"/>
  <c r="E9" i="1"/>
  <c r="C264" i="1" s="1"/>
  <c r="E8" i="1"/>
  <c r="C263" i="1" s="1"/>
  <c r="E7" i="1"/>
  <c r="E6" i="1"/>
  <c r="E5" i="1"/>
  <c r="E3" i="1"/>
  <c r="BH3" i="1" s="1"/>
  <c r="E4" i="1"/>
  <c r="L1" i="24"/>
  <c r="DG11" i="1"/>
  <c r="L11" i="1" s="1"/>
  <c r="DG216" i="1"/>
  <c r="DH216" i="1" s="1"/>
  <c r="DG396" i="1"/>
  <c r="DG69" i="1"/>
  <c r="DG200" i="1"/>
  <c r="DG446" i="1"/>
  <c r="DH446" i="1" s="1"/>
  <c r="DG5" i="1"/>
  <c r="DH5" i="1" s="1"/>
  <c r="R39" i="1"/>
  <c r="DG229" i="1"/>
  <c r="R229" i="1" s="1"/>
  <c r="DG473" i="1"/>
  <c r="R473" i="1" s="1"/>
  <c r="DG125" i="1"/>
  <c r="V125" i="1" s="1"/>
  <c r="DG141" i="1"/>
  <c r="DH141" i="1" s="1"/>
  <c r="DG54" i="1"/>
  <c r="J54" i="1" s="1"/>
  <c r="DG399" i="1"/>
  <c r="J399" i="1" s="1"/>
  <c r="DG476" i="1"/>
  <c r="DG474" i="1"/>
  <c r="DH474" i="1" s="1"/>
  <c r="DG412" i="1"/>
  <c r="J412" i="1" s="1"/>
  <c r="DG395" i="1"/>
  <c r="T395" i="1" s="1"/>
  <c r="DG384" i="1"/>
  <c r="T384" i="1" s="1"/>
  <c r="DG383" i="1"/>
  <c r="DH383" i="1" s="1"/>
  <c r="DG381" i="1"/>
  <c r="DH381" i="1" s="1"/>
  <c r="DG379" i="1"/>
  <c r="L379" i="1" s="1"/>
  <c r="DG371" i="1"/>
  <c r="DH371" i="1" s="1"/>
  <c r="DG370" i="1"/>
  <c r="DH370" i="1" s="1"/>
  <c r="DG369" i="1"/>
  <c r="DH369" i="1" s="1"/>
  <c r="T369" i="1"/>
  <c r="DG368" i="1"/>
  <c r="DH368" i="1" s="1"/>
  <c r="DG367" i="1"/>
  <c r="DH367" i="1" s="1"/>
  <c r="DG365" i="1"/>
  <c r="DH365" i="1" s="1"/>
  <c r="DG364" i="1"/>
  <c r="DH364" i="1" s="1"/>
  <c r="DG363" i="1"/>
  <c r="DH363" i="1" s="1"/>
  <c r="DG356" i="1"/>
  <c r="J356" i="1" s="1"/>
  <c r="DG355" i="1"/>
  <c r="DH355" i="1" s="1"/>
  <c r="DG353" i="1"/>
  <c r="DH353" i="1" s="1"/>
  <c r="DG350" i="1"/>
  <c r="DH350" i="1" s="1"/>
  <c r="DG349" i="1"/>
  <c r="DH349" i="1" s="1"/>
  <c r="T349" i="1" s="1"/>
  <c r="DG348" i="1"/>
  <c r="DH348" i="1" s="1"/>
  <c r="DG341" i="1"/>
  <c r="DH341" i="1" s="1"/>
  <c r="DG339" i="1"/>
  <c r="DH339" i="1" s="1"/>
  <c r="DG336" i="1"/>
  <c r="DH336" i="1" s="1"/>
  <c r="DG335" i="1"/>
  <c r="DH335" i="1" s="1"/>
  <c r="DG333" i="1"/>
  <c r="DH333" i="1" s="1"/>
  <c r="DG324" i="1"/>
  <c r="R324" i="1" s="1"/>
  <c r="DG319" i="1"/>
  <c r="DG318" i="1"/>
  <c r="DH318" i="1" s="1"/>
  <c r="DG311" i="1"/>
  <c r="DH311" i="1" s="1"/>
  <c r="DG310" i="1"/>
  <c r="DH310" i="1" s="1"/>
  <c r="DG307" i="1"/>
  <c r="DH307" i="1" s="1"/>
  <c r="DG306" i="1"/>
  <c r="DH306" i="1" s="1"/>
  <c r="DG304" i="1"/>
  <c r="DH304" i="1" s="1"/>
  <c r="DG303" i="1"/>
  <c r="T303" i="1" s="1"/>
  <c r="DG296" i="1"/>
  <c r="DH296" i="1" s="1"/>
  <c r="DG295" i="1"/>
  <c r="DG294" i="1"/>
  <c r="DH294" i="1" s="1"/>
  <c r="DG292" i="1"/>
  <c r="DG288" i="1"/>
  <c r="DH288" i="1" s="1"/>
  <c r="DG280" i="1"/>
  <c r="DH280" i="1" s="1"/>
  <c r="DG279" i="1"/>
  <c r="DH279" i="1" s="1"/>
  <c r="DG276" i="1"/>
  <c r="T276" i="1" s="1"/>
  <c r="DG275" i="1"/>
  <c r="DH275" i="1" s="1"/>
  <c r="DG274" i="1"/>
  <c r="DH274" i="1" s="1"/>
  <c r="J274" i="1" s="1"/>
  <c r="DG265" i="1"/>
  <c r="N265" i="1" s="1"/>
  <c r="DG264" i="1"/>
  <c r="DG263" i="1"/>
  <c r="DH263" i="1" s="1"/>
  <c r="DG261" i="1"/>
  <c r="DH261" i="1" s="1"/>
  <c r="DG260" i="1"/>
  <c r="DH260" i="1" s="1"/>
  <c r="DG259" i="1"/>
  <c r="DH259" i="1" s="1"/>
  <c r="DG251" i="1"/>
  <c r="J251" i="1" s="1"/>
  <c r="DG249" i="1"/>
  <c r="DH249" i="1" s="1"/>
  <c r="DG247" i="1"/>
  <c r="DH247" i="1" s="1"/>
  <c r="DG246" i="1"/>
  <c r="DH246" i="1" s="1"/>
  <c r="DG244" i="1"/>
  <c r="DH244" i="1" s="1"/>
  <c r="V244" i="1" s="1"/>
  <c r="DG236" i="1"/>
  <c r="J236" i="1" s="1"/>
  <c r="DG235" i="1"/>
  <c r="V235" i="1" s="1"/>
  <c r="DG233" i="1"/>
  <c r="DH233" i="1" s="1"/>
  <c r="DG230" i="1"/>
  <c r="DH230" i="1" s="1"/>
  <c r="DG221" i="1"/>
  <c r="DH221" i="1" s="1"/>
  <c r="DG219" i="1"/>
  <c r="DH219" i="1" s="1"/>
  <c r="DG218" i="1"/>
  <c r="DH218" i="1" s="1"/>
  <c r="DG217" i="1"/>
  <c r="DH217" i="1" s="1"/>
  <c r="DG215" i="1"/>
  <c r="DH215" i="1" s="1"/>
  <c r="J215" i="1" s="1"/>
  <c r="DG206" i="1"/>
  <c r="DH206" i="1" s="1"/>
  <c r="DG205" i="1"/>
  <c r="DH205" i="1" s="1"/>
  <c r="DG203" i="1"/>
  <c r="L203" i="1" s="1"/>
  <c r="DG201" i="1"/>
  <c r="J200" i="1"/>
  <c r="DG191" i="1"/>
  <c r="DH191" i="1" s="1"/>
  <c r="DG189" i="1"/>
  <c r="DG188" i="1"/>
  <c r="DH188" i="1" s="1"/>
  <c r="DG187" i="1"/>
  <c r="DH187" i="1" s="1"/>
  <c r="DG186" i="1"/>
  <c r="DG184" i="1"/>
  <c r="DH184" i="1" s="1"/>
  <c r="L184" i="1" s="1"/>
  <c r="DG183" i="1"/>
  <c r="DH183" i="1" s="1"/>
  <c r="DG176" i="1"/>
  <c r="DH176" i="1" s="1"/>
  <c r="DG175" i="1"/>
  <c r="DG174" i="1"/>
  <c r="T174" i="1" s="1"/>
  <c r="DG172" i="1"/>
  <c r="DG171" i="1"/>
  <c r="DH171" i="1" s="1"/>
  <c r="DG159" i="1"/>
  <c r="DH159" i="1" s="1"/>
  <c r="DG157" i="1"/>
  <c r="DH157" i="1" s="1"/>
  <c r="DG156" i="1"/>
  <c r="DH156" i="1" s="1"/>
  <c r="DG155" i="1"/>
  <c r="DH155" i="1" s="1"/>
  <c r="DG154" i="1"/>
  <c r="DH154" i="1" s="1"/>
  <c r="DG153" i="1"/>
  <c r="DG145" i="1"/>
  <c r="DH145" i="1" s="1"/>
  <c r="DG144" i="1"/>
  <c r="DG142" i="1"/>
  <c r="DH142" i="1" s="1"/>
  <c r="DG140" i="1"/>
  <c r="R140" i="1" s="1"/>
  <c r="DG130" i="1"/>
  <c r="R130" i="1" s="1"/>
  <c r="DG123" i="1"/>
  <c r="V123" i="1" s="1"/>
  <c r="DG111" i="1"/>
  <c r="R111" i="1" s="1"/>
  <c r="DG94" i="1"/>
  <c r="R94" i="1" s="1"/>
  <c r="DG81" i="1"/>
  <c r="DH81" i="1" s="1"/>
  <c r="DG67" i="1"/>
  <c r="DH67" i="1" s="1"/>
  <c r="DG56" i="1"/>
  <c r="DH56" i="1" s="1"/>
  <c r="R56" i="1"/>
  <c r="DG55" i="1"/>
  <c r="T33" i="1"/>
  <c r="DG21" i="1"/>
  <c r="C18" i="2"/>
  <c r="C17" i="2"/>
  <c r="C16" i="2"/>
  <c r="C15" i="2"/>
  <c r="C14" i="2"/>
  <c r="C13" i="2"/>
  <c r="C12" i="2"/>
  <c r="C11" i="2"/>
  <c r="C10" i="2"/>
  <c r="C9" i="2"/>
  <c r="C8" i="2"/>
  <c r="C7" i="2"/>
  <c r="C6" i="2"/>
  <c r="C5" i="2"/>
  <c r="C4" i="2"/>
  <c r="C3" i="2"/>
  <c r="C2" i="2"/>
  <c r="C1" i="2"/>
  <c r="H507" i="1"/>
  <c r="F507" i="1"/>
  <c r="DR506" i="1"/>
  <c r="DO506" i="1"/>
  <c r="DN506" i="1"/>
  <c r="DG506" i="1"/>
  <c r="T506" i="1" s="1"/>
  <c r="DR505" i="1"/>
  <c r="DO505" i="1"/>
  <c r="DN505" i="1"/>
  <c r="DG505" i="1"/>
  <c r="L505" i="1" s="1"/>
  <c r="DR504" i="1"/>
  <c r="DO504" i="1"/>
  <c r="DN504" i="1"/>
  <c r="DG504" i="1"/>
  <c r="DR503" i="1"/>
  <c r="DO503" i="1"/>
  <c r="DN503" i="1"/>
  <c r="DG503" i="1"/>
  <c r="DH503" i="1" s="1"/>
  <c r="DR502" i="1"/>
  <c r="DO502" i="1"/>
  <c r="DN502" i="1"/>
  <c r="DG502" i="1"/>
  <c r="DH502" i="1" s="1"/>
  <c r="DR501" i="1"/>
  <c r="DO501" i="1"/>
  <c r="DN501" i="1"/>
  <c r="DG501" i="1"/>
  <c r="DH501" i="1" s="1"/>
  <c r="DR500" i="1"/>
  <c r="DO500" i="1"/>
  <c r="DQ500" i="1" s="1"/>
  <c r="DN500" i="1"/>
  <c r="DG500" i="1"/>
  <c r="DH500" i="1" s="1"/>
  <c r="DR499" i="1"/>
  <c r="DO499" i="1"/>
  <c r="DN499" i="1"/>
  <c r="DG499" i="1"/>
  <c r="DH499" i="1" s="1"/>
  <c r="DR498" i="1"/>
  <c r="DO498" i="1"/>
  <c r="DN498" i="1"/>
  <c r="DG498" i="1"/>
  <c r="DH498" i="1" s="1"/>
  <c r="E497" i="1"/>
  <c r="C497" i="1"/>
  <c r="DC496" i="1"/>
  <c r="CZ496" i="1"/>
  <c r="CW496" i="1"/>
  <c r="CT496" i="1"/>
  <c r="CQ496" i="1"/>
  <c r="CN496" i="1"/>
  <c r="CK496" i="1"/>
  <c r="CH496" i="1"/>
  <c r="CE496" i="1"/>
  <c r="CB496" i="1"/>
  <c r="BY496" i="1"/>
  <c r="BV496" i="1"/>
  <c r="BS496" i="1"/>
  <c r="BP496" i="1"/>
  <c r="BM496" i="1"/>
  <c r="BJ496" i="1"/>
  <c r="BG496" i="1"/>
  <c r="BD496" i="1"/>
  <c r="U496" i="1"/>
  <c r="S496" i="1"/>
  <c r="Q496" i="1"/>
  <c r="M496" i="1"/>
  <c r="K496" i="1"/>
  <c r="I496" i="1"/>
  <c r="H492" i="1"/>
  <c r="F492" i="1"/>
  <c r="DR491" i="1"/>
  <c r="DO491" i="1"/>
  <c r="DN491" i="1"/>
  <c r="DG491" i="1"/>
  <c r="T491" i="1" s="1"/>
  <c r="L491" i="1"/>
  <c r="DR490" i="1"/>
  <c r="DO490" i="1"/>
  <c r="DN490" i="1"/>
  <c r="DG490" i="1"/>
  <c r="DH490" i="1" s="1"/>
  <c r="DR489" i="1"/>
  <c r="DO489" i="1"/>
  <c r="DN489" i="1"/>
  <c r="DP489" i="1" s="1"/>
  <c r="DG489" i="1"/>
  <c r="V489" i="1" s="1"/>
  <c r="DR488" i="1"/>
  <c r="DO488" i="1"/>
  <c r="DN488" i="1"/>
  <c r="DG488" i="1"/>
  <c r="DH488" i="1" s="1"/>
  <c r="DR487" i="1"/>
  <c r="DO487" i="1"/>
  <c r="DN487" i="1"/>
  <c r="DG487" i="1"/>
  <c r="R487" i="1" s="1"/>
  <c r="DR486" i="1"/>
  <c r="DO486" i="1"/>
  <c r="DN486" i="1"/>
  <c r="DG486" i="1"/>
  <c r="DH486" i="1" s="1"/>
  <c r="DR485" i="1"/>
  <c r="DO485" i="1"/>
  <c r="DN485" i="1"/>
  <c r="DG485" i="1"/>
  <c r="DR484" i="1"/>
  <c r="DO484" i="1"/>
  <c r="DN484" i="1"/>
  <c r="DG484" i="1"/>
  <c r="DH484" i="1" s="1"/>
  <c r="J484" i="1" s="1"/>
  <c r="DR483" i="1"/>
  <c r="DO483" i="1"/>
  <c r="DN483" i="1"/>
  <c r="DG483" i="1"/>
  <c r="V483" i="1" s="1"/>
  <c r="R483" i="1"/>
  <c r="E482" i="1"/>
  <c r="C482" i="1"/>
  <c r="DC481" i="1"/>
  <c r="CZ481" i="1"/>
  <c r="CW481" i="1"/>
  <c r="CT481" i="1"/>
  <c r="CQ481" i="1"/>
  <c r="CN481" i="1"/>
  <c r="CK481" i="1"/>
  <c r="CH481" i="1"/>
  <c r="CE481" i="1"/>
  <c r="CB481" i="1"/>
  <c r="BY481" i="1"/>
  <c r="BV481" i="1"/>
  <c r="BS481" i="1"/>
  <c r="BP481" i="1"/>
  <c r="BM481" i="1"/>
  <c r="BJ481" i="1"/>
  <c r="BG481" i="1"/>
  <c r="BD481" i="1"/>
  <c r="U481" i="1"/>
  <c r="S481" i="1"/>
  <c r="Q481" i="1"/>
  <c r="M481" i="1"/>
  <c r="K481" i="1"/>
  <c r="I481" i="1"/>
  <c r="H477" i="1"/>
  <c r="F478" i="1" s="1"/>
  <c r="F477" i="1"/>
  <c r="DR476" i="1"/>
  <c r="DO476" i="1"/>
  <c r="DN476" i="1"/>
  <c r="DR475" i="1"/>
  <c r="DO475" i="1"/>
  <c r="DN475" i="1"/>
  <c r="DG475" i="1"/>
  <c r="DH475" i="1" s="1"/>
  <c r="DR474" i="1"/>
  <c r="DO474" i="1"/>
  <c r="DN474" i="1"/>
  <c r="DR473" i="1"/>
  <c r="DO473" i="1"/>
  <c r="DN473" i="1"/>
  <c r="DR472" i="1"/>
  <c r="DO472" i="1"/>
  <c r="DN472" i="1"/>
  <c r="DG472" i="1"/>
  <c r="DH472" i="1" s="1"/>
  <c r="DR471" i="1"/>
  <c r="DO471" i="1"/>
  <c r="DP471" i="1" s="1"/>
  <c r="DN471" i="1"/>
  <c r="DG471" i="1"/>
  <c r="DR470" i="1"/>
  <c r="DO470" i="1"/>
  <c r="DQ470" i="1" s="1"/>
  <c r="DN470" i="1"/>
  <c r="DG470" i="1"/>
  <c r="DH470" i="1" s="1"/>
  <c r="DR469" i="1"/>
  <c r="DO469" i="1"/>
  <c r="DQ469" i="1" s="1"/>
  <c r="DN469" i="1"/>
  <c r="DG469" i="1"/>
  <c r="DH469" i="1" s="1"/>
  <c r="DR468" i="1"/>
  <c r="DO468" i="1"/>
  <c r="DN468" i="1"/>
  <c r="DG468" i="1"/>
  <c r="E467" i="1"/>
  <c r="C467" i="1"/>
  <c r="DC466" i="1"/>
  <c r="CZ466" i="1"/>
  <c r="CW466" i="1"/>
  <c r="CT466" i="1"/>
  <c r="CQ466" i="1"/>
  <c r="CN466" i="1"/>
  <c r="CK466" i="1"/>
  <c r="CH466" i="1"/>
  <c r="CE466" i="1"/>
  <c r="CB466" i="1"/>
  <c r="BY466" i="1"/>
  <c r="BV466" i="1"/>
  <c r="BS466" i="1"/>
  <c r="BP466" i="1"/>
  <c r="BM466" i="1"/>
  <c r="BJ466" i="1"/>
  <c r="BG466" i="1"/>
  <c r="BD466" i="1"/>
  <c r="U466" i="1"/>
  <c r="S466" i="1"/>
  <c r="Q466" i="1"/>
  <c r="M466" i="1"/>
  <c r="K466" i="1"/>
  <c r="I466" i="1"/>
  <c r="H462" i="1"/>
  <c r="F462" i="1"/>
  <c r="DR461" i="1"/>
  <c r="DO461" i="1"/>
  <c r="DN461" i="1"/>
  <c r="DR460" i="1"/>
  <c r="DO460" i="1"/>
  <c r="DN460" i="1"/>
  <c r="DR459" i="1"/>
  <c r="DO459" i="1"/>
  <c r="DN459" i="1"/>
  <c r="DQ459" i="1" s="1"/>
  <c r="DR458" i="1"/>
  <c r="DO458" i="1"/>
  <c r="DN458" i="1"/>
  <c r="DR457" i="1"/>
  <c r="DO457" i="1"/>
  <c r="DN457" i="1"/>
  <c r="DP457" i="1" s="1"/>
  <c r="DR456" i="1"/>
  <c r="DO456" i="1"/>
  <c r="DN456" i="1"/>
  <c r="DR455" i="1"/>
  <c r="DO455" i="1"/>
  <c r="DN455" i="1"/>
  <c r="DR454" i="1"/>
  <c r="DO454" i="1"/>
  <c r="DN454" i="1"/>
  <c r="DR453" i="1"/>
  <c r="DO453" i="1"/>
  <c r="DN453" i="1"/>
  <c r="E452" i="1"/>
  <c r="C452" i="1"/>
  <c r="DC451" i="1"/>
  <c r="CZ451" i="1"/>
  <c r="CW451" i="1"/>
  <c r="CT451" i="1"/>
  <c r="CQ451" i="1"/>
  <c r="CN451" i="1"/>
  <c r="CK451" i="1"/>
  <c r="CH451" i="1"/>
  <c r="CE451" i="1"/>
  <c r="CB451" i="1"/>
  <c r="BY451" i="1"/>
  <c r="BV451" i="1"/>
  <c r="BS451" i="1"/>
  <c r="BP451" i="1"/>
  <c r="BM451" i="1"/>
  <c r="BJ451" i="1"/>
  <c r="BG451" i="1"/>
  <c r="BD451" i="1"/>
  <c r="U451" i="1"/>
  <c r="S451" i="1"/>
  <c r="Q451" i="1"/>
  <c r="M451" i="1"/>
  <c r="K451" i="1"/>
  <c r="I451" i="1"/>
  <c r="H447" i="1"/>
  <c r="F447" i="1"/>
  <c r="DR446" i="1"/>
  <c r="DO446" i="1"/>
  <c r="DN446" i="1"/>
  <c r="DR445" i="1"/>
  <c r="DO445" i="1"/>
  <c r="DN445" i="1"/>
  <c r="DG445" i="1"/>
  <c r="DH445" i="1" s="1"/>
  <c r="DR444" i="1"/>
  <c r="DO444" i="1"/>
  <c r="DQ444" i="1" s="1"/>
  <c r="DN444" i="1"/>
  <c r="DG444" i="1"/>
  <c r="DH444" i="1" s="1"/>
  <c r="DR443" i="1"/>
  <c r="DO443" i="1"/>
  <c r="DN443" i="1"/>
  <c r="DG443" i="1"/>
  <c r="DH443" i="1" s="1"/>
  <c r="DR442" i="1"/>
  <c r="DO442" i="1"/>
  <c r="DN442" i="1"/>
  <c r="DG442" i="1"/>
  <c r="DH442" i="1" s="1"/>
  <c r="DR441" i="1"/>
  <c r="DO441" i="1"/>
  <c r="DN441" i="1"/>
  <c r="DQ441" i="1" s="1"/>
  <c r="DG441" i="1"/>
  <c r="DH441" i="1" s="1"/>
  <c r="DR440" i="1"/>
  <c r="DO440" i="1"/>
  <c r="DN440" i="1"/>
  <c r="DG440" i="1"/>
  <c r="DH440" i="1" s="1"/>
  <c r="DR439" i="1"/>
  <c r="DO439" i="1"/>
  <c r="DN439" i="1"/>
  <c r="DG439" i="1"/>
  <c r="DH439" i="1" s="1"/>
  <c r="DR438" i="1"/>
  <c r="DO438" i="1"/>
  <c r="DN438" i="1"/>
  <c r="DQ438" i="1" s="1"/>
  <c r="DG438" i="1"/>
  <c r="DH438" i="1" s="1"/>
  <c r="E437" i="1"/>
  <c r="C437" i="1"/>
  <c r="DC436" i="1"/>
  <c r="CZ436" i="1"/>
  <c r="CW436" i="1"/>
  <c r="CT436" i="1"/>
  <c r="CQ436" i="1"/>
  <c r="CN436" i="1"/>
  <c r="CK436" i="1"/>
  <c r="CH436" i="1"/>
  <c r="CE436" i="1"/>
  <c r="CB436" i="1"/>
  <c r="BY436" i="1"/>
  <c r="BV436" i="1"/>
  <c r="BS436" i="1"/>
  <c r="BP436" i="1"/>
  <c r="BM436" i="1"/>
  <c r="BJ436" i="1"/>
  <c r="BG436" i="1"/>
  <c r="BD436" i="1"/>
  <c r="U436" i="1"/>
  <c r="S436" i="1"/>
  <c r="Q436" i="1"/>
  <c r="M436" i="1"/>
  <c r="K436" i="1"/>
  <c r="I436" i="1"/>
  <c r="DG424" i="1"/>
  <c r="DH424" i="1" s="1"/>
  <c r="DG425" i="1"/>
  <c r="R425" i="1" s="1"/>
  <c r="H432" i="1"/>
  <c r="F432" i="1"/>
  <c r="DR431" i="1"/>
  <c r="DO431" i="1"/>
  <c r="DN431" i="1"/>
  <c r="DG431" i="1"/>
  <c r="DH431" i="1" s="1"/>
  <c r="DR430" i="1"/>
  <c r="DO430" i="1"/>
  <c r="DN430" i="1"/>
  <c r="DP430" i="1" s="1"/>
  <c r="DG430" i="1"/>
  <c r="DH430" i="1" s="1"/>
  <c r="DR429" i="1"/>
  <c r="DO429" i="1"/>
  <c r="DN429" i="1"/>
  <c r="DG429" i="1"/>
  <c r="DR428" i="1"/>
  <c r="DO428" i="1"/>
  <c r="DN428" i="1"/>
  <c r="DG428" i="1"/>
  <c r="DH428" i="1" s="1"/>
  <c r="DR427" i="1"/>
  <c r="DO427" i="1"/>
  <c r="DN427" i="1"/>
  <c r="DG427" i="1"/>
  <c r="DH427" i="1" s="1"/>
  <c r="DR426" i="1"/>
  <c r="DO426" i="1"/>
  <c r="DN426" i="1"/>
  <c r="DG426" i="1"/>
  <c r="DR425" i="1"/>
  <c r="DO425" i="1"/>
  <c r="DN425" i="1"/>
  <c r="DP425" i="1" s="1"/>
  <c r="DR424" i="1"/>
  <c r="DO424" i="1"/>
  <c r="DN424" i="1"/>
  <c r="R424" i="1"/>
  <c r="DR423" i="1"/>
  <c r="DO423" i="1"/>
  <c r="DN423" i="1"/>
  <c r="DG423" i="1"/>
  <c r="DH423" i="1" s="1"/>
  <c r="E422" i="1"/>
  <c r="C422" i="1"/>
  <c r="DC421" i="1"/>
  <c r="CZ421" i="1"/>
  <c r="CW421" i="1"/>
  <c r="CT421" i="1"/>
  <c r="CQ421" i="1"/>
  <c r="CN421" i="1"/>
  <c r="CK421" i="1"/>
  <c r="CH421" i="1"/>
  <c r="CE421" i="1"/>
  <c r="CB421" i="1"/>
  <c r="BY421" i="1"/>
  <c r="BV421" i="1"/>
  <c r="BS421" i="1"/>
  <c r="BP421" i="1"/>
  <c r="BM421" i="1"/>
  <c r="BJ421" i="1"/>
  <c r="BG421" i="1"/>
  <c r="BD421" i="1"/>
  <c r="U421" i="1"/>
  <c r="S421" i="1"/>
  <c r="Q421" i="1"/>
  <c r="M421" i="1"/>
  <c r="K421" i="1"/>
  <c r="I421" i="1"/>
  <c r="H417" i="1"/>
  <c r="F417" i="1"/>
  <c r="DR416" i="1"/>
  <c r="DO416" i="1"/>
  <c r="DN416" i="1"/>
  <c r="DG416" i="1"/>
  <c r="DH416" i="1" s="1"/>
  <c r="DR415" i="1"/>
  <c r="DO415" i="1"/>
  <c r="DN415" i="1"/>
  <c r="DG415" i="1"/>
  <c r="DR414" i="1"/>
  <c r="DO414" i="1"/>
  <c r="DN414" i="1"/>
  <c r="DG414" i="1"/>
  <c r="DH414" i="1" s="1"/>
  <c r="DR413" i="1"/>
  <c r="DO413" i="1"/>
  <c r="DN413" i="1"/>
  <c r="DG413" i="1"/>
  <c r="DH413" i="1" s="1"/>
  <c r="DR412" i="1"/>
  <c r="DO412" i="1"/>
  <c r="DN412" i="1"/>
  <c r="DP412" i="1" s="1"/>
  <c r="DR411" i="1"/>
  <c r="DO411" i="1"/>
  <c r="DN411" i="1"/>
  <c r="DG411" i="1"/>
  <c r="J411" i="1" s="1"/>
  <c r="DR410" i="1"/>
  <c r="DO410" i="1"/>
  <c r="DN410" i="1"/>
  <c r="DP410" i="1" s="1"/>
  <c r="DG410" i="1"/>
  <c r="V410" i="1" s="1"/>
  <c r="DR409" i="1"/>
  <c r="DO409" i="1"/>
  <c r="DN409" i="1"/>
  <c r="DG409" i="1"/>
  <c r="J409" i="1" s="1"/>
  <c r="DR408" i="1"/>
  <c r="DO408" i="1"/>
  <c r="DN408" i="1"/>
  <c r="DG408" i="1"/>
  <c r="J408" i="1" s="1"/>
  <c r="E407" i="1"/>
  <c r="C407" i="1"/>
  <c r="DC406" i="1"/>
  <c r="CZ406" i="1"/>
  <c r="CW406" i="1"/>
  <c r="CT406" i="1"/>
  <c r="CQ406" i="1"/>
  <c r="CN406" i="1"/>
  <c r="CK406" i="1"/>
  <c r="CH406" i="1"/>
  <c r="CE406" i="1"/>
  <c r="CB406" i="1"/>
  <c r="BY406" i="1"/>
  <c r="BV406" i="1"/>
  <c r="BS406" i="1"/>
  <c r="BP406" i="1"/>
  <c r="BM406" i="1"/>
  <c r="BJ406" i="1"/>
  <c r="BG406" i="1"/>
  <c r="BD406" i="1"/>
  <c r="U406" i="1"/>
  <c r="S406" i="1"/>
  <c r="Q406" i="1"/>
  <c r="M406" i="1"/>
  <c r="K406" i="1"/>
  <c r="I406" i="1"/>
  <c r="H402" i="1"/>
  <c r="F402" i="1"/>
  <c r="DR401" i="1"/>
  <c r="DO401" i="1"/>
  <c r="DN401" i="1"/>
  <c r="DG401" i="1"/>
  <c r="DR400" i="1"/>
  <c r="DO400" i="1"/>
  <c r="DN400" i="1"/>
  <c r="DG400" i="1"/>
  <c r="DH400" i="1" s="1"/>
  <c r="DR399" i="1"/>
  <c r="DO399" i="1"/>
  <c r="DN399" i="1"/>
  <c r="DR398" i="1"/>
  <c r="DO398" i="1"/>
  <c r="DN398" i="1"/>
  <c r="DP398" i="1" s="1"/>
  <c r="DG398" i="1"/>
  <c r="DH398" i="1" s="1"/>
  <c r="DR397" i="1"/>
  <c r="DO397" i="1"/>
  <c r="DP397" i="1" s="1"/>
  <c r="DN397" i="1"/>
  <c r="DG397" i="1"/>
  <c r="DH397" i="1" s="1"/>
  <c r="DR396" i="1"/>
  <c r="DO396" i="1"/>
  <c r="DN396" i="1"/>
  <c r="DQ396" i="1" s="1"/>
  <c r="DR395" i="1"/>
  <c r="DO395" i="1"/>
  <c r="DN395" i="1"/>
  <c r="DR394" i="1"/>
  <c r="DO394" i="1"/>
  <c r="DN394" i="1"/>
  <c r="DG394" i="1"/>
  <c r="DH394" i="1" s="1"/>
  <c r="DR393" i="1"/>
  <c r="DO393" i="1"/>
  <c r="DP393" i="1" s="1"/>
  <c r="DN393" i="1"/>
  <c r="DG393" i="1"/>
  <c r="E392" i="1"/>
  <c r="C392" i="1"/>
  <c r="DC391" i="1"/>
  <c r="CZ391" i="1"/>
  <c r="CW391" i="1"/>
  <c r="CT391" i="1"/>
  <c r="CQ391" i="1"/>
  <c r="CN391" i="1"/>
  <c r="CK391" i="1"/>
  <c r="CH391" i="1"/>
  <c r="CE391" i="1"/>
  <c r="CB391" i="1"/>
  <c r="BY391" i="1"/>
  <c r="BV391" i="1"/>
  <c r="BS391" i="1"/>
  <c r="BP391" i="1"/>
  <c r="BM391" i="1"/>
  <c r="BJ391" i="1"/>
  <c r="BG391" i="1"/>
  <c r="BD391" i="1"/>
  <c r="U391" i="1"/>
  <c r="S391" i="1"/>
  <c r="Q391" i="1"/>
  <c r="M391" i="1"/>
  <c r="K391" i="1"/>
  <c r="I391" i="1"/>
  <c r="H387" i="1"/>
  <c r="F387" i="1"/>
  <c r="DR386" i="1"/>
  <c r="DO386" i="1"/>
  <c r="DN386" i="1"/>
  <c r="DG386" i="1"/>
  <c r="V386" i="1" s="1"/>
  <c r="DR385" i="1"/>
  <c r="DO385" i="1"/>
  <c r="DN385" i="1"/>
  <c r="DG385" i="1"/>
  <c r="DH385" i="1" s="1"/>
  <c r="DR384" i="1"/>
  <c r="DO384" i="1"/>
  <c r="DN384" i="1"/>
  <c r="DR383" i="1"/>
  <c r="DO383" i="1"/>
  <c r="DN383" i="1"/>
  <c r="DQ383" i="1" s="1"/>
  <c r="DR382" i="1"/>
  <c r="DO382" i="1"/>
  <c r="DP382" i="1" s="1"/>
  <c r="DN382" i="1"/>
  <c r="DG382" i="1"/>
  <c r="DH382" i="1" s="1"/>
  <c r="DR381" i="1"/>
  <c r="DO381" i="1"/>
  <c r="DP381" i="1" s="1"/>
  <c r="DN381" i="1"/>
  <c r="DR380" i="1"/>
  <c r="DO380" i="1"/>
  <c r="DN380" i="1"/>
  <c r="DG380" i="1"/>
  <c r="DH380" i="1" s="1"/>
  <c r="DR379" i="1"/>
  <c r="DO379" i="1"/>
  <c r="DN379" i="1"/>
  <c r="DR378" i="1"/>
  <c r="DO378" i="1"/>
  <c r="DN378" i="1"/>
  <c r="DP378" i="1" s="1"/>
  <c r="DG378" i="1"/>
  <c r="DH378" i="1" s="1"/>
  <c r="E377" i="1"/>
  <c r="C377" i="1"/>
  <c r="DC376" i="1"/>
  <c r="CZ376" i="1"/>
  <c r="CW376" i="1"/>
  <c r="CT376" i="1"/>
  <c r="CQ376" i="1"/>
  <c r="CN376" i="1"/>
  <c r="CK376" i="1"/>
  <c r="CH376" i="1"/>
  <c r="CE376" i="1"/>
  <c r="CB376" i="1"/>
  <c r="BY376" i="1"/>
  <c r="BV376" i="1"/>
  <c r="BS376" i="1"/>
  <c r="BP376" i="1"/>
  <c r="BM376" i="1"/>
  <c r="BJ376" i="1"/>
  <c r="BG376" i="1"/>
  <c r="BD376" i="1"/>
  <c r="U376" i="1"/>
  <c r="S376" i="1"/>
  <c r="Q376" i="1"/>
  <c r="M376" i="1"/>
  <c r="K376" i="1"/>
  <c r="I376" i="1"/>
  <c r="H372" i="1"/>
  <c r="F372" i="1"/>
  <c r="DR371" i="1"/>
  <c r="DO371" i="1"/>
  <c r="DP371" i="1" s="1"/>
  <c r="DN371" i="1"/>
  <c r="DR370" i="1"/>
  <c r="DO370" i="1"/>
  <c r="DP370" i="1" s="1"/>
  <c r="DN370" i="1"/>
  <c r="DR369" i="1"/>
  <c r="DO369" i="1"/>
  <c r="DN369" i="1"/>
  <c r="DQ369" i="1" s="1"/>
  <c r="DR368" i="1"/>
  <c r="DO368" i="1"/>
  <c r="DN368" i="1"/>
  <c r="DR367" i="1"/>
  <c r="DO367" i="1"/>
  <c r="DN367" i="1"/>
  <c r="DR366" i="1"/>
  <c r="DO366" i="1"/>
  <c r="DN366" i="1"/>
  <c r="DG366" i="1"/>
  <c r="DH366" i="1" s="1"/>
  <c r="DR365" i="1"/>
  <c r="DN365" i="1"/>
  <c r="DO365" i="1"/>
  <c r="DR364" i="1"/>
  <c r="DN364" i="1"/>
  <c r="DO364" i="1"/>
  <c r="DR363" i="1"/>
  <c r="DO363" i="1"/>
  <c r="DN363" i="1"/>
  <c r="E362" i="1"/>
  <c r="C362" i="1"/>
  <c r="DC361" i="1"/>
  <c r="CZ361" i="1"/>
  <c r="CW361" i="1"/>
  <c r="CT361" i="1"/>
  <c r="CQ361" i="1"/>
  <c r="CN361" i="1"/>
  <c r="CK361" i="1"/>
  <c r="CH361" i="1"/>
  <c r="CE361" i="1"/>
  <c r="CB361" i="1"/>
  <c r="BY361" i="1"/>
  <c r="BV361" i="1"/>
  <c r="BS361" i="1"/>
  <c r="BP361" i="1"/>
  <c r="BM361" i="1"/>
  <c r="BJ361" i="1"/>
  <c r="BG361" i="1"/>
  <c r="BD361" i="1"/>
  <c r="U361" i="1"/>
  <c r="S361" i="1"/>
  <c r="Q361" i="1"/>
  <c r="M361" i="1"/>
  <c r="K361" i="1"/>
  <c r="I361" i="1"/>
  <c r="H357" i="1"/>
  <c r="F357" i="1"/>
  <c r="DR356" i="1"/>
  <c r="DO356" i="1"/>
  <c r="DN356" i="1"/>
  <c r="DR355" i="1"/>
  <c r="DO355" i="1"/>
  <c r="DN355" i="1"/>
  <c r="DR354" i="1"/>
  <c r="DO354" i="1"/>
  <c r="DN354" i="1"/>
  <c r="DG354" i="1"/>
  <c r="R354" i="1" s="1"/>
  <c r="DR353" i="1"/>
  <c r="DO353" i="1"/>
  <c r="DN353" i="1"/>
  <c r="DR352" i="1"/>
  <c r="DO352" i="1"/>
  <c r="DN352" i="1"/>
  <c r="DG352" i="1"/>
  <c r="DH352" i="1" s="1"/>
  <c r="DR351" i="1"/>
  <c r="DO351" i="1"/>
  <c r="DN351" i="1"/>
  <c r="DG351" i="1"/>
  <c r="DR350" i="1"/>
  <c r="DO350" i="1"/>
  <c r="DN350" i="1"/>
  <c r="DR349" i="1"/>
  <c r="DO349" i="1"/>
  <c r="DN349" i="1"/>
  <c r="DR348" i="1"/>
  <c r="DO348" i="1"/>
  <c r="DN348" i="1"/>
  <c r="E347" i="1"/>
  <c r="C347" i="1"/>
  <c r="DC346" i="1"/>
  <c r="CZ346" i="1"/>
  <c r="CW346" i="1"/>
  <c r="CT346" i="1"/>
  <c r="CQ346" i="1"/>
  <c r="CN346" i="1"/>
  <c r="CK346" i="1"/>
  <c r="CH346" i="1"/>
  <c r="CE346" i="1"/>
  <c r="CB346" i="1"/>
  <c r="BY346" i="1"/>
  <c r="BV346" i="1"/>
  <c r="BS346" i="1"/>
  <c r="BP346" i="1"/>
  <c r="BM346" i="1"/>
  <c r="BJ346" i="1"/>
  <c r="BG346" i="1"/>
  <c r="BD346" i="1"/>
  <c r="U346" i="1"/>
  <c r="S346" i="1"/>
  <c r="Q346" i="1"/>
  <c r="M346" i="1"/>
  <c r="K346" i="1"/>
  <c r="I346" i="1"/>
  <c r="H342" i="1"/>
  <c r="F342" i="1"/>
  <c r="DR341" i="1"/>
  <c r="DO341" i="1"/>
  <c r="DN341" i="1"/>
  <c r="DR340" i="1"/>
  <c r="DO340" i="1"/>
  <c r="DN340" i="1"/>
  <c r="DQ340" i="1" s="1"/>
  <c r="DG340" i="1"/>
  <c r="N340" i="1" s="1"/>
  <c r="DR339" i="1"/>
  <c r="DO339" i="1"/>
  <c r="DN339" i="1"/>
  <c r="DR338" i="1"/>
  <c r="DO338" i="1"/>
  <c r="DN338" i="1"/>
  <c r="DG338" i="1"/>
  <c r="DH338" i="1" s="1"/>
  <c r="DR337" i="1"/>
  <c r="DO337" i="1"/>
  <c r="DN337" i="1"/>
  <c r="DG337" i="1"/>
  <c r="DH337" i="1" s="1"/>
  <c r="DR336" i="1"/>
  <c r="DO336" i="1"/>
  <c r="DN336" i="1"/>
  <c r="DR335" i="1"/>
  <c r="DN335" i="1"/>
  <c r="DO335" i="1"/>
  <c r="DR334" i="1"/>
  <c r="DO334" i="1"/>
  <c r="DN334" i="1"/>
  <c r="DG334" i="1"/>
  <c r="DH334" i="1" s="1"/>
  <c r="N334" i="1" s="1"/>
  <c r="DR333" i="1"/>
  <c r="DO333" i="1"/>
  <c r="DN333" i="1"/>
  <c r="E332" i="1"/>
  <c r="C332" i="1"/>
  <c r="DC331" i="1"/>
  <c r="CZ331" i="1"/>
  <c r="CW331" i="1"/>
  <c r="CT331" i="1"/>
  <c r="CQ331" i="1"/>
  <c r="CN331" i="1"/>
  <c r="CK331" i="1"/>
  <c r="CH331" i="1"/>
  <c r="CE331" i="1"/>
  <c r="CB331" i="1"/>
  <c r="BY331" i="1"/>
  <c r="BV331" i="1"/>
  <c r="BS331" i="1"/>
  <c r="BP331" i="1"/>
  <c r="BM331" i="1"/>
  <c r="BJ331" i="1"/>
  <c r="BG331" i="1"/>
  <c r="BD331" i="1"/>
  <c r="U331" i="1"/>
  <c r="S331" i="1"/>
  <c r="Q331" i="1"/>
  <c r="M331" i="1"/>
  <c r="K331" i="1"/>
  <c r="I331" i="1"/>
  <c r="H327" i="1"/>
  <c r="F327" i="1"/>
  <c r="DR326" i="1"/>
  <c r="DO326" i="1"/>
  <c r="DN326" i="1"/>
  <c r="DG326" i="1"/>
  <c r="DH326" i="1" s="1"/>
  <c r="DR325" i="1"/>
  <c r="DO325" i="1"/>
  <c r="DN325" i="1"/>
  <c r="DG325" i="1"/>
  <c r="DH325" i="1" s="1"/>
  <c r="DR324" i="1"/>
  <c r="DO324" i="1"/>
  <c r="DN324" i="1"/>
  <c r="DR323" i="1"/>
  <c r="DO323" i="1"/>
  <c r="DN323" i="1"/>
  <c r="DG323" i="1"/>
  <c r="DH323" i="1" s="1"/>
  <c r="DR322" i="1"/>
  <c r="DO322" i="1"/>
  <c r="DN322" i="1"/>
  <c r="DG322" i="1"/>
  <c r="DH322" i="1" s="1"/>
  <c r="DR321" i="1"/>
  <c r="DO321" i="1"/>
  <c r="DN321" i="1"/>
  <c r="DG321" i="1"/>
  <c r="DH321" i="1" s="1"/>
  <c r="DR320" i="1"/>
  <c r="DO320" i="1"/>
  <c r="DN320" i="1"/>
  <c r="DP320" i="1" s="1"/>
  <c r="DG320" i="1"/>
  <c r="DR319" i="1"/>
  <c r="DO319" i="1"/>
  <c r="DQ319" i="1" s="1"/>
  <c r="DN319" i="1"/>
  <c r="DR318" i="1"/>
  <c r="DO318" i="1"/>
  <c r="DN318" i="1"/>
  <c r="DQ318" i="1" s="1"/>
  <c r="E317" i="1"/>
  <c r="C317" i="1"/>
  <c r="DC316" i="1"/>
  <c r="CZ316" i="1"/>
  <c r="CW316" i="1"/>
  <c r="CT316" i="1"/>
  <c r="CQ316" i="1"/>
  <c r="CN316" i="1"/>
  <c r="CK316" i="1"/>
  <c r="CH316" i="1"/>
  <c r="CE316" i="1"/>
  <c r="CB316" i="1"/>
  <c r="BY316" i="1"/>
  <c r="BV316" i="1"/>
  <c r="BS316" i="1"/>
  <c r="BP316" i="1"/>
  <c r="BM316" i="1"/>
  <c r="BJ316" i="1"/>
  <c r="BG316" i="1"/>
  <c r="BD316" i="1"/>
  <c r="U316" i="1"/>
  <c r="S316" i="1"/>
  <c r="Q316" i="1"/>
  <c r="M316" i="1"/>
  <c r="K316" i="1"/>
  <c r="I316" i="1"/>
  <c r="H312" i="1"/>
  <c r="F312" i="1"/>
  <c r="DR311" i="1"/>
  <c r="DO311" i="1"/>
  <c r="DN311" i="1"/>
  <c r="DR310" i="1"/>
  <c r="DO310" i="1"/>
  <c r="DQ310" i="1" s="1"/>
  <c r="DN310" i="1"/>
  <c r="DR309" i="1"/>
  <c r="DN309" i="1"/>
  <c r="DP309" i="1" s="1"/>
  <c r="DO309" i="1"/>
  <c r="DG309" i="1"/>
  <c r="DR308" i="1"/>
  <c r="DO308" i="1"/>
  <c r="DP308" i="1" s="1"/>
  <c r="DN308" i="1"/>
  <c r="DG308" i="1"/>
  <c r="DH308" i="1" s="1"/>
  <c r="DR307" i="1"/>
  <c r="DO307" i="1"/>
  <c r="DN307" i="1"/>
  <c r="DR306" i="1"/>
  <c r="DO306" i="1"/>
  <c r="DN306" i="1"/>
  <c r="DR305" i="1"/>
  <c r="DN305" i="1"/>
  <c r="DO305" i="1"/>
  <c r="DG305" i="1"/>
  <c r="DH305" i="1" s="1"/>
  <c r="DR304" i="1"/>
  <c r="DN304" i="1"/>
  <c r="DO304" i="1"/>
  <c r="DR303" i="1"/>
  <c r="DO303" i="1"/>
  <c r="DN303" i="1"/>
  <c r="E302" i="1"/>
  <c r="C302" i="1"/>
  <c r="DC301" i="1"/>
  <c r="CZ301" i="1"/>
  <c r="CW301" i="1"/>
  <c r="CT301" i="1"/>
  <c r="CQ301" i="1"/>
  <c r="CN301" i="1"/>
  <c r="CK301" i="1"/>
  <c r="CH301" i="1"/>
  <c r="CE301" i="1"/>
  <c r="CB301" i="1"/>
  <c r="BY301" i="1"/>
  <c r="BV301" i="1"/>
  <c r="BS301" i="1"/>
  <c r="BP301" i="1"/>
  <c r="BM301" i="1"/>
  <c r="BJ301" i="1"/>
  <c r="BG301" i="1"/>
  <c r="BD301" i="1"/>
  <c r="U301" i="1"/>
  <c r="S301" i="1"/>
  <c r="Q301" i="1"/>
  <c r="M301" i="1"/>
  <c r="K301" i="1"/>
  <c r="I301" i="1"/>
  <c r="H297" i="1"/>
  <c r="F297" i="1"/>
  <c r="DR296" i="1"/>
  <c r="DO296" i="1"/>
  <c r="DN296" i="1"/>
  <c r="T296" i="1"/>
  <c r="DR295" i="1"/>
  <c r="DO295" i="1"/>
  <c r="DN295" i="1"/>
  <c r="DR294" i="1"/>
  <c r="DO294" i="1"/>
  <c r="DN294" i="1"/>
  <c r="DR293" i="1"/>
  <c r="DO293" i="1"/>
  <c r="DN293" i="1"/>
  <c r="DG293" i="1"/>
  <c r="N293" i="1" s="1"/>
  <c r="DR292" i="1"/>
  <c r="DO292" i="1"/>
  <c r="DN292" i="1"/>
  <c r="DR291" i="1"/>
  <c r="DO291" i="1"/>
  <c r="DN291" i="1"/>
  <c r="DG291" i="1"/>
  <c r="DH291" i="1" s="1"/>
  <c r="DR290" i="1"/>
  <c r="DO290" i="1"/>
  <c r="DN290" i="1"/>
  <c r="DG290" i="1"/>
  <c r="DH290" i="1" s="1"/>
  <c r="R290" i="1" s="1"/>
  <c r="DR289" i="1"/>
  <c r="DO289" i="1"/>
  <c r="DN289" i="1"/>
  <c r="DG289" i="1"/>
  <c r="DH289" i="1" s="1"/>
  <c r="DR288" i="1"/>
  <c r="DO288" i="1"/>
  <c r="DN288" i="1"/>
  <c r="E287" i="1"/>
  <c r="C287" i="1"/>
  <c r="DC286" i="1"/>
  <c r="CZ286" i="1"/>
  <c r="CW286" i="1"/>
  <c r="CT286" i="1"/>
  <c r="CQ286" i="1"/>
  <c r="CN286" i="1"/>
  <c r="CK286" i="1"/>
  <c r="CH286" i="1"/>
  <c r="CE286" i="1"/>
  <c r="CB286" i="1"/>
  <c r="BY286" i="1"/>
  <c r="BV286" i="1"/>
  <c r="BS286" i="1"/>
  <c r="BP286" i="1"/>
  <c r="BM286" i="1"/>
  <c r="BJ286" i="1"/>
  <c r="BG286" i="1"/>
  <c r="BD286" i="1"/>
  <c r="U286" i="1"/>
  <c r="S286" i="1"/>
  <c r="Q286" i="1"/>
  <c r="M286" i="1"/>
  <c r="K286" i="1"/>
  <c r="I286" i="1"/>
  <c r="F282" i="1"/>
  <c r="H282" i="1"/>
  <c r="DR281" i="1"/>
  <c r="DO281" i="1"/>
  <c r="DN281" i="1"/>
  <c r="DG281" i="1"/>
  <c r="DR280" i="1"/>
  <c r="DN280" i="1"/>
  <c r="DO280" i="1"/>
  <c r="DR279" i="1"/>
  <c r="DN279" i="1"/>
  <c r="DO279" i="1"/>
  <c r="DR278" i="1"/>
  <c r="DO278" i="1"/>
  <c r="DN278" i="1"/>
  <c r="DG278" i="1"/>
  <c r="DR277" i="1"/>
  <c r="DO277" i="1"/>
  <c r="DN277" i="1"/>
  <c r="DG277" i="1"/>
  <c r="DH277" i="1" s="1"/>
  <c r="DR276" i="1"/>
  <c r="DO276" i="1"/>
  <c r="DN276" i="1"/>
  <c r="DR275" i="1"/>
  <c r="DO275" i="1"/>
  <c r="DN275" i="1"/>
  <c r="DR274" i="1"/>
  <c r="DO274" i="1"/>
  <c r="DN274" i="1"/>
  <c r="DR273" i="1"/>
  <c r="DO273" i="1"/>
  <c r="DN273" i="1"/>
  <c r="DG273" i="1"/>
  <c r="E272" i="1"/>
  <c r="C272" i="1"/>
  <c r="DC271" i="1"/>
  <c r="CZ271" i="1"/>
  <c r="CW271" i="1"/>
  <c r="CT271" i="1"/>
  <c r="CQ271" i="1"/>
  <c r="CN271" i="1"/>
  <c r="CK271" i="1"/>
  <c r="CH271" i="1"/>
  <c r="CE271" i="1"/>
  <c r="CB271" i="1"/>
  <c r="BY271" i="1"/>
  <c r="BV271" i="1"/>
  <c r="BS271" i="1"/>
  <c r="BP271" i="1"/>
  <c r="BM271" i="1"/>
  <c r="BJ271" i="1"/>
  <c r="BG271" i="1"/>
  <c r="BD271" i="1"/>
  <c r="U271" i="1"/>
  <c r="S271" i="1"/>
  <c r="Q271" i="1"/>
  <c r="M271" i="1"/>
  <c r="K271" i="1"/>
  <c r="I271" i="1"/>
  <c r="H267" i="1"/>
  <c r="F267" i="1"/>
  <c r="DR266" i="1"/>
  <c r="DO266" i="1"/>
  <c r="DN266" i="1"/>
  <c r="DG266" i="1"/>
  <c r="DH266" i="1" s="1"/>
  <c r="C11" i="1"/>
  <c r="E266" i="1" s="1"/>
  <c r="DR265" i="1"/>
  <c r="DO265" i="1"/>
  <c r="DN265" i="1"/>
  <c r="DQ265" i="1" s="1"/>
  <c r="DR264" i="1"/>
  <c r="DO264" i="1"/>
  <c r="DN264" i="1"/>
  <c r="C9" i="1"/>
  <c r="E264" i="1" s="1"/>
  <c r="DR263" i="1"/>
  <c r="DO263" i="1"/>
  <c r="DN263" i="1"/>
  <c r="J263" i="1"/>
  <c r="DR262" i="1"/>
  <c r="DO262" i="1"/>
  <c r="DN262" i="1"/>
  <c r="DG262" i="1"/>
  <c r="DH262" i="1" s="1"/>
  <c r="C7" i="1"/>
  <c r="C3" i="1"/>
  <c r="C4" i="1"/>
  <c r="C5" i="1"/>
  <c r="C6" i="1"/>
  <c r="C8" i="1"/>
  <c r="C10" i="1"/>
  <c r="DR261" i="1"/>
  <c r="DO261" i="1"/>
  <c r="DN261" i="1"/>
  <c r="DR260" i="1"/>
  <c r="DO260" i="1"/>
  <c r="DN260" i="1"/>
  <c r="DR259" i="1"/>
  <c r="DO259" i="1"/>
  <c r="DN259" i="1"/>
  <c r="DR258" i="1"/>
  <c r="DO258" i="1"/>
  <c r="DP258" i="1" s="1"/>
  <c r="DN258" i="1"/>
  <c r="DG258" i="1"/>
  <c r="DH258" i="1" s="1"/>
  <c r="E257" i="1"/>
  <c r="C257" i="1"/>
  <c r="DC256" i="1"/>
  <c r="CZ256" i="1"/>
  <c r="CW256" i="1"/>
  <c r="CT256" i="1"/>
  <c r="CQ256" i="1"/>
  <c r="CN256" i="1"/>
  <c r="CK256" i="1"/>
  <c r="CH256" i="1"/>
  <c r="CE256" i="1"/>
  <c r="CB256" i="1"/>
  <c r="BY256" i="1"/>
  <c r="BV256" i="1"/>
  <c r="BS256" i="1"/>
  <c r="BP256" i="1"/>
  <c r="BM256" i="1"/>
  <c r="BJ256" i="1"/>
  <c r="BG256" i="1"/>
  <c r="BD256" i="1"/>
  <c r="U256" i="1"/>
  <c r="S256" i="1"/>
  <c r="Q256" i="1"/>
  <c r="M256" i="1"/>
  <c r="K256" i="1"/>
  <c r="I256" i="1"/>
  <c r="H252" i="1"/>
  <c r="F252" i="1"/>
  <c r="DR251" i="1"/>
  <c r="DO251" i="1"/>
  <c r="DN251" i="1"/>
  <c r="C506" i="1"/>
  <c r="DR250" i="1"/>
  <c r="DO250" i="1"/>
  <c r="DN250" i="1"/>
  <c r="DG250" i="1"/>
  <c r="C505" i="1"/>
  <c r="DR249" i="1"/>
  <c r="DO249" i="1"/>
  <c r="DN249" i="1"/>
  <c r="C504" i="1"/>
  <c r="DR248" i="1"/>
  <c r="DO248" i="1"/>
  <c r="DN248" i="1"/>
  <c r="DG248" i="1"/>
  <c r="DH248" i="1" s="1"/>
  <c r="DR247" i="1"/>
  <c r="DO247" i="1"/>
  <c r="DN247" i="1"/>
  <c r="DR246" i="1"/>
  <c r="DO246" i="1"/>
  <c r="DN246" i="1"/>
  <c r="DR245" i="1"/>
  <c r="DO245" i="1"/>
  <c r="DN245" i="1"/>
  <c r="DG245" i="1"/>
  <c r="T245" i="1" s="1"/>
  <c r="DR244" i="1"/>
  <c r="DO244" i="1"/>
  <c r="DN244" i="1"/>
  <c r="DR243" i="1"/>
  <c r="DO243" i="1"/>
  <c r="DN243" i="1"/>
  <c r="DG243" i="1"/>
  <c r="DH243" i="1" s="1"/>
  <c r="E242" i="1"/>
  <c r="C242" i="1"/>
  <c r="DC241" i="1"/>
  <c r="CZ241" i="1"/>
  <c r="CW241" i="1"/>
  <c r="CT241" i="1"/>
  <c r="CQ241" i="1"/>
  <c r="CN241" i="1"/>
  <c r="CK241" i="1"/>
  <c r="CH241" i="1"/>
  <c r="CE241" i="1"/>
  <c r="CB241" i="1"/>
  <c r="BY241" i="1"/>
  <c r="BV241" i="1"/>
  <c r="BS241" i="1"/>
  <c r="BP241" i="1"/>
  <c r="BM241" i="1"/>
  <c r="BJ241" i="1"/>
  <c r="BG241" i="1"/>
  <c r="BD241" i="1"/>
  <c r="U241" i="1"/>
  <c r="S241" i="1"/>
  <c r="Q241" i="1"/>
  <c r="M241" i="1"/>
  <c r="K241" i="1"/>
  <c r="I241" i="1"/>
  <c r="H237" i="1"/>
  <c r="F237" i="1"/>
  <c r="DR236" i="1"/>
  <c r="DO236" i="1"/>
  <c r="DQ236" i="1" s="1"/>
  <c r="DN236" i="1"/>
  <c r="C491" i="1"/>
  <c r="DR235" i="1"/>
  <c r="DO235" i="1"/>
  <c r="DN235" i="1"/>
  <c r="DR234" i="1"/>
  <c r="DO234" i="1"/>
  <c r="DN234" i="1"/>
  <c r="DG234" i="1"/>
  <c r="DH234" i="1" s="1"/>
  <c r="DR233" i="1"/>
  <c r="DO233" i="1"/>
  <c r="DN233" i="1"/>
  <c r="DR232" i="1"/>
  <c r="DO232" i="1"/>
  <c r="DN232" i="1"/>
  <c r="DG232" i="1"/>
  <c r="DH232" i="1" s="1"/>
  <c r="C487" i="1"/>
  <c r="DR231" i="1"/>
  <c r="DN231" i="1"/>
  <c r="DO231" i="1"/>
  <c r="DG231" i="1"/>
  <c r="DR230" i="1"/>
  <c r="DO230" i="1"/>
  <c r="DN230" i="1"/>
  <c r="DP230" i="1" s="1"/>
  <c r="DR229" i="1"/>
  <c r="DO229" i="1"/>
  <c r="DN229" i="1"/>
  <c r="DR228" i="1"/>
  <c r="DO228" i="1"/>
  <c r="DN228" i="1"/>
  <c r="DG228" i="1"/>
  <c r="E227" i="1"/>
  <c r="C227" i="1"/>
  <c r="DC226" i="1"/>
  <c r="CZ226" i="1"/>
  <c r="CW226" i="1"/>
  <c r="CT226" i="1"/>
  <c r="CQ226" i="1"/>
  <c r="CN226" i="1"/>
  <c r="CK226" i="1"/>
  <c r="CH226" i="1"/>
  <c r="CE226" i="1"/>
  <c r="CB226" i="1"/>
  <c r="BY226" i="1"/>
  <c r="BV226" i="1"/>
  <c r="BS226" i="1"/>
  <c r="BP226" i="1"/>
  <c r="BM226" i="1"/>
  <c r="BJ226" i="1"/>
  <c r="BG226" i="1"/>
  <c r="BD226" i="1"/>
  <c r="U226" i="1"/>
  <c r="S226" i="1"/>
  <c r="Q226" i="1"/>
  <c r="M226" i="1"/>
  <c r="K226" i="1"/>
  <c r="I226" i="1"/>
  <c r="H222" i="1"/>
  <c r="F222" i="1"/>
  <c r="DR221" i="1"/>
  <c r="DO221" i="1"/>
  <c r="DN221" i="1"/>
  <c r="DP221" i="1" s="1"/>
  <c r="E476" i="1"/>
  <c r="DR220" i="1"/>
  <c r="DO220" i="1"/>
  <c r="DN220" i="1"/>
  <c r="DG220" i="1"/>
  <c r="DH220" i="1" s="1"/>
  <c r="DR219" i="1"/>
  <c r="DO219" i="1"/>
  <c r="DN219" i="1"/>
  <c r="DR218" i="1"/>
  <c r="DO218" i="1"/>
  <c r="DN218" i="1"/>
  <c r="DR217" i="1"/>
  <c r="DO217" i="1"/>
  <c r="DN217" i="1"/>
  <c r="E472" i="1"/>
  <c r="DR216" i="1"/>
  <c r="DO216" i="1"/>
  <c r="DN216" i="1"/>
  <c r="DR215" i="1"/>
  <c r="DO215" i="1"/>
  <c r="DN215" i="1"/>
  <c r="E470" i="1"/>
  <c r="DR214" i="1"/>
  <c r="DO214" i="1"/>
  <c r="DN214" i="1"/>
  <c r="DG214" i="1"/>
  <c r="DR213" i="1"/>
  <c r="DO213" i="1"/>
  <c r="DN213" i="1"/>
  <c r="DG213" i="1"/>
  <c r="DH213" i="1" s="1"/>
  <c r="E212" i="1"/>
  <c r="C212" i="1"/>
  <c r="DC211" i="1"/>
  <c r="CZ211" i="1"/>
  <c r="CW211" i="1"/>
  <c r="CT211" i="1"/>
  <c r="CQ211" i="1"/>
  <c r="CN211" i="1"/>
  <c r="CK211" i="1"/>
  <c r="CH211" i="1"/>
  <c r="CE211" i="1"/>
  <c r="CB211" i="1"/>
  <c r="BY211" i="1"/>
  <c r="BV211" i="1"/>
  <c r="BS211" i="1"/>
  <c r="BP211" i="1"/>
  <c r="BM211" i="1"/>
  <c r="BJ211" i="1"/>
  <c r="BG211" i="1"/>
  <c r="BD211" i="1"/>
  <c r="U211" i="1"/>
  <c r="S211" i="1"/>
  <c r="Q211" i="1"/>
  <c r="M211" i="1"/>
  <c r="K211" i="1"/>
  <c r="I211" i="1"/>
  <c r="H207" i="1"/>
  <c r="F207" i="1"/>
  <c r="F192" i="1"/>
  <c r="H192" i="1"/>
  <c r="F177" i="1"/>
  <c r="H177" i="1"/>
  <c r="F162" i="1"/>
  <c r="H162" i="1"/>
  <c r="F147" i="1"/>
  <c r="H147" i="1"/>
  <c r="F132" i="1"/>
  <c r="H132" i="1"/>
  <c r="F117" i="1"/>
  <c r="H117" i="1"/>
  <c r="F102" i="1"/>
  <c r="H102" i="1"/>
  <c r="F87" i="1"/>
  <c r="H87" i="1"/>
  <c r="F72" i="1"/>
  <c r="H72" i="1"/>
  <c r="F57" i="1"/>
  <c r="H57" i="1"/>
  <c r="F42" i="1"/>
  <c r="H42" i="1"/>
  <c r="F27" i="1"/>
  <c r="H27" i="1"/>
  <c r="F12" i="1"/>
  <c r="H12" i="1"/>
  <c r="DR206" i="1"/>
  <c r="DO206" i="1"/>
  <c r="DN206" i="1"/>
  <c r="DR205" i="1"/>
  <c r="DO205" i="1"/>
  <c r="DN205" i="1"/>
  <c r="E460" i="1"/>
  <c r="DR204" i="1"/>
  <c r="DO204" i="1"/>
  <c r="DN204" i="1"/>
  <c r="DG204" i="1"/>
  <c r="N204" i="1" s="1"/>
  <c r="DR203" i="1"/>
  <c r="DO203" i="1"/>
  <c r="DN203" i="1"/>
  <c r="DR202" i="1"/>
  <c r="DO202" i="1"/>
  <c r="DN202" i="1"/>
  <c r="DG202" i="1"/>
  <c r="DH202" i="1" s="1"/>
  <c r="DR201" i="1"/>
  <c r="DO201" i="1"/>
  <c r="DN201" i="1"/>
  <c r="C456" i="1"/>
  <c r="E456" i="1"/>
  <c r="DR200" i="1"/>
  <c r="DO200" i="1"/>
  <c r="DN200" i="1"/>
  <c r="E455" i="1"/>
  <c r="DR199" i="1"/>
  <c r="DO199" i="1"/>
  <c r="DN199" i="1"/>
  <c r="DG199" i="1"/>
  <c r="DH199" i="1" s="1"/>
  <c r="DR198" i="1"/>
  <c r="DO198" i="1"/>
  <c r="DN198" i="1"/>
  <c r="DG198" i="1"/>
  <c r="DH198" i="1" s="1"/>
  <c r="E197" i="1"/>
  <c r="C197" i="1"/>
  <c r="DC196" i="1"/>
  <c r="CZ196" i="1"/>
  <c r="CW196" i="1"/>
  <c r="CT196" i="1"/>
  <c r="CQ196" i="1"/>
  <c r="CN196" i="1"/>
  <c r="CK196" i="1"/>
  <c r="CH196" i="1"/>
  <c r="CE196" i="1"/>
  <c r="CB196" i="1"/>
  <c r="BY196" i="1"/>
  <c r="BV196" i="1"/>
  <c r="BS196" i="1"/>
  <c r="BP196" i="1"/>
  <c r="BM196" i="1"/>
  <c r="BJ196" i="1"/>
  <c r="BG196" i="1"/>
  <c r="BD196" i="1"/>
  <c r="U196" i="1"/>
  <c r="S196" i="1"/>
  <c r="Q196" i="1"/>
  <c r="M196" i="1"/>
  <c r="K196" i="1"/>
  <c r="I196" i="1"/>
  <c r="DR191" i="1"/>
  <c r="DO191" i="1"/>
  <c r="DN191" i="1"/>
  <c r="DR190" i="1"/>
  <c r="DO190" i="1"/>
  <c r="DN190" i="1"/>
  <c r="DG190" i="1"/>
  <c r="DH190" i="1" s="1"/>
  <c r="C445" i="1"/>
  <c r="E445" i="1"/>
  <c r="DR189" i="1"/>
  <c r="DO189" i="1"/>
  <c r="DN189" i="1"/>
  <c r="C444" i="1"/>
  <c r="DR188" i="1"/>
  <c r="DO188" i="1"/>
  <c r="DN188" i="1"/>
  <c r="C443" i="1"/>
  <c r="DR187" i="1"/>
  <c r="DO187" i="1"/>
  <c r="DN187" i="1"/>
  <c r="DR186" i="1"/>
  <c r="DO186" i="1"/>
  <c r="DN186" i="1"/>
  <c r="DP186" i="1" s="1"/>
  <c r="DR185" i="1"/>
  <c r="DO185" i="1"/>
  <c r="DN185" i="1"/>
  <c r="DP185" i="1" s="1"/>
  <c r="DG185" i="1"/>
  <c r="DH185" i="1" s="1"/>
  <c r="DR184" i="1"/>
  <c r="DO184" i="1"/>
  <c r="DN184" i="1"/>
  <c r="DR183" i="1"/>
  <c r="DO183" i="1"/>
  <c r="DN183" i="1"/>
  <c r="E182" i="1"/>
  <c r="C182" i="1"/>
  <c r="DC181" i="1"/>
  <c r="CZ181" i="1"/>
  <c r="CW181" i="1"/>
  <c r="CT181" i="1"/>
  <c r="CQ181" i="1"/>
  <c r="CN181" i="1"/>
  <c r="CK181" i="1"/>
  <c r="CH181" i="1"/>
  <c r="CE181" i="1"/>
  <c r="CB181" i="1"/>
  <c r="BY181" i="1"/>
  <c r="BV181" i="1"/>
  <c r="BS181" i="1"/>
  <c r="BP181" i="1"/>
  <c r="BM181" i="1"/>
  <c r="BJ181" i="1"/>
  <c r="BG181" i="1"/>
  <c r="BD181" i="1"/>
  <c r="U181" i="1"/>
  <c r="S181" i="1"/>
  <c r="Q181" i="1"/>
  <c r="M181" i="1"/>
  <c r="K181" i="1"/>
  <c r="I181" i="1"/>
  <c r="DR176" i="1"/>
  <c r="DO176" i="1"/>
  <c r="DN176" i="1"/>
  <c r="C431" i="1"/>
  <c r="DR175" i="1"/>
  <c r="DN175" i="1"/>
  <c r="DO175" i="1"/>
  <c r="DR174" i="1"/>
  <c r="DO174" i="1"/>
  <c r="DN174" i="1"/>
  <c r="DR173" i="1"/>
  <c r="DO173" i="1"/>
  <c r="DN173" i="1"/>
  <c r="DG173" i="1"/>
  <c r="DH173" i="1" s="1"/>
  <c r="DR172" i="1"/>
  <c r="DO172" i="1"/>
  <c r="DN172" i="1"/>
  <c r="DR171" i="1"/>
  <c r="DO171" i="1"/>
  <c r="DN171" i="1"/>
  <c r="DR170" i="1"/>
  <c r="DO170" i="1"/>
  <c r="DN170" i="1"/>
  <c r="DG170" i="1"/>
  <c r="DH170" i="1" s="1"/>
  <c r="L170" i="1" s="1"/>
  <c r="DR169" i="1"/>
  <c r="DO169" i="1"/>
  <c r="DN169" i="1"/>
  <c r="DG169" i="1"/>
  <c r="DH169" i="1" s="1"/>
  <c r="DR168" i="1"/>
  <c r="DO168" i="1"/>
  <c r="DN168" i="1"/>
  <c r="DG168" i="1"/>
  <c r="DH168" i="1" s="1"/>
  <c r="E167" i="1"/>
  <c r="C167" i="1"/>
  <c r="DC166" i="1"/>
  <c r="CZ166" i="1"/>
  <c r="CW166" i="1"/>
  <c r="CT166" i="1"/>
  <c r="CQ166" i="1"/>
  <c r="CN166" i="1"/>
  <c r="CK166" i="1"/>
  <c r="CH166" i="1"/>
  <c r="CE166" i="1"/>
  <c r="CB166" i="1"/>
  <c r="BY166" i="1"/>
  <c r="BV166" i="1"/>
  <c r="BS166" i="1"/>
  <c r="BP166" i="1"/>
  <c r="BM166" i="1"/>
  <c r="BJ166" i="1"/>
  <c r="BG166" i="1"/>
  <c r="BD166" i="1"/>
  <c r="U166" i="1"/>
  <c r="S166" i="1"/>
  <c r="Q166" i="1"/>
  <c r="M166" i="1"/>
  <c r="K166" i="1"/>
  <c r="I166" i="1"/>
  <c r="DR161" i="1"/>
  <c r="DO161" i="1"/>
  <c r="DN161" i="1"/>
  <c r="DG161" i="1"/>
  <c r="DR160" i="1"/>
  <c r="DO160" i="1"/>
  <c r="DP160" i="1" s="1"/>
  <c r="DN160" i="1"/>
  <c r="DG160" i="1"/>
  <c r="DH160" i="1" s="1"/>
  <c r="DR159" i="1"/>
  <c r="DO159" i="1"/>
  <c r="DN159" i="1"/>
  <c r="DR158" i="1"/>
  <c r="DO158" i="1"/>
  <c r="DN158" i="1"/>
  <c r="DG158" i="1"/>
  <c r="DH158" i="1" s="1"/>
  <c r="DR157" i="1"/>
  <c r="DO157" i="1"/>
  <c r="DN157" i="1"/>
  <c r="DR156" i="1"/>
  <c r="DO156" i="1"/>
  <c r="DN156" i="1"/>
  <c r="DR155" i="1"/>
  <c r="DO155" i="1"/>
  <c r="DN155" i="1"/>
  <c r="DR154" i="1"/>
  <c r="DO154" i="1"/>
  <c r="DN154" i="1"/>
  <c r="E409" i="1"/>
  <c r="DR153" i="1"/>
  <c r="DO153" i="1"/>
  <c r="DN153" i="1"/>
  <c r="E152" i="1"/>
  <c r="C152" i="1"/>
  <c r="DC151" i="1"/>
  <c r="CZ151" i="1"/>
  <c r="CW151" i="1"/>
  <c r="CT151" i="1"/>
  <c r="CQ151" i="1"/>
  <c r="CN151" i="1"/>
  <c r="CK151" i="1"/>
  <c r="CH151" i="1"/>
  <c r="CE151" i="1"/>
  <c r="CB151" i="1"/>
  <c r="BY151" i="1"/>
  <c r="BV151" i="1"/>
  <c r="BS151" i="1"/>
  <c r="BP151" i="1"/>
  <c r="BM151" i="1"/>
  <c r="BJ151" i="1"/>
  <c r="BG151" i="1"/>
  <c r="BD151" i="1"/>
  <c r="U151" i="1"/>
  <c r="S151" i="1"/>
  <c r="Q151" i="1"/>
  <c r="M151" i="1"/>
  <c r="K151" i="1"/>
  <c r="I151" i="1"/>
  <c r="DR146" i="1"/>
  <c r="DO146" i="1"/>
  <c r="DN146" i="1"/>
  <c r="DG146" i="1"/>
  <c r="DH146" i="1" s="1"/>
  <c r="DR145" i="1"/>
  <c r="DO145" i="1"/>
  <c r="DN145" i="1"/>
  <c r="DR144" i="1"/>
  <c r="DO144" i="1"/>
  <c r="DN144" i="1"/>
  <c r="DQ144" i="1"/>
  <c r="V144" i="1"/>
  <c r="DR143" i="1"/>
  <c r="DO143" i="1"/>
  <c r="DN143" i="1"/>
  <c r="DG143" i="1"/>
  <c r="DH143" i="1" s="1"/>
  <c r="DR142" i="1"/>
  <c r="DO142" i="1"/>
  <c r="DN142" i="1"/>
  <c r="R142" i="1"/>
  <c r="DR141" i="1"/>
  <c r="DO141" i="1"/>
  <c r="DQ141" i="1" s="1"/>
  <c r="DN141" i="1"/>
  <c r="E396" i="1"/>
  <c r="DR140" i="1"/>
  <c r="DO140" i="1"/>
  <c r="DN140" i="1"/>
  <c r="L140" i="1"/>
  <c r="C395" i="1"/>
  <c r="DR139" i="1"/>
  <c r="DO139" i="1"/>
  <c r="DN139" i="1"/>
  <c r="DG139" i="1"/>
  <c r="DR138" i="1"/>
  <c r="DO138" i="1"/>
  <c r="DN138" i="1"/>
  <c r="DG138" i="1"/>
  <c r="L138" i="1" s="1"/>
  <c r="E137" i="1"/>
  <c r="C137" i="1"/>
  <c r="DC136" i="1"/>
  <c r="CZ136" i="1"/>
  <c r="CW136" i="1"/>
  <c r="CT136" i="1"/>
  <c r="CQ136" i="1"/>
  <c r="CN136" i="1"/>
  <c r="CK136" i="1"/>
  <c r="CH136" i="1"/>
  <c r="CE136" i="1"/>
  <c r="CB136" i="1"/>
  <c r="BY136" i="1"/>
  <c r="BV136" i="1"/>
  <c r="BS136" i="1"/>
  <c r="BP136" i="1"/>
  <c r="BM136" i="1"/>
  <c r="BJ136" i="1"/>
  <c r="BG136" i="1"/>
  <c r="BD136" i="1"/>
  <c r="U136" i="1"/>
  <c r="S136" i="1"/>
  <c r="Q136" i="1"/>
  <c r="M136" i="1"/>
  <c r="K136" i="1"/>
  <c r="I136" i="1"/>
  <c r="DR131" i="1"/>
  <c r="DO131" i="1"/>
  <c r="DN131" i="1"/>
  <c r="DG131" i="1"/>
  <c r="N131" i="1" s="1"/>
  <c r="DR130" i="1"/>
  <c r="DO130" i="1"/>
  <c r="DN130" i="1"/>
  <c r="DR129" i="1"/>
  <c r="DO129" i="1"/>
  <c r="DN129" i="1"/>
  <c r="DG129" i="1"/>
  <c r="L129" i="1" s="1"/>
  <c r="DR128" i="1"/>
  <c r="DN128" i="1"/>
  <c r="DO128" i="1"/>
  <c r="DQ128" i="1" s="1"/>
  <c r="DG128" i="1"/>
  <c r="N128" i="1" s="1"/>
  <c r="DR127" i="1"/>
  <c r="DO127" i="1"/>
  <c r="DN127" i="1"/>
  <c r="DG127" i="1"/>
  <c r="DH127" i="1" s="1"/>
  <c r="L127" i="1"/>
  <c r="E382" i="1"/>
  <c r="DR126" i="1"/>
  <c r="DO126" i="1"/>
  <c r="DN126" i="1"/>
  <c r="DG126" i="1"/>
  <c r="DH126" i="1" s="1"/>
  <c r="C381" i="1"/>
  <c r="DR125" i="1"/>
  <c r="DO125" i="1"/>
  <c r="DN125" i="1"/>
  <c r="DR124" i="1"/>
  <c r="DN124" i="1"/>
  <c r="DO124" i="1"/>
  <c r="DG124" i="1"/>
  <c r="DH124" i="1" s="1"/>
  <c r="R124" i="1" s="1"/>
  <c r="E379" i="1"/>
  <c r="DR123" i="1"/>
  <c r="DO123" i="1"/>
  <c r="DN123" i="1"/>
  <c r="DQ123" i="1" s="1"/>
  <c r="E122" i="1"/>
  <c r="C122" i="1"/>
  <c r="DC121" i="1"/>
  <c r="CZ121" i="1"/>
  <c r="CW121" i="1"/>
  <c r="CT121" i="1"/>
  <c r="CQ121" i="1"/>
  <c r="CN121" i="1"/>
  <c r="CK121" i="1"/>
  <c r="CH121" i="1"/>
  <c r="CE121" i="1"/>
  <c r="CB121" i="1"/>
  <c r="BY121" i="1"/>
  <c r="BV121" i="1"/>
  <c r="BS121" i="1"/>
  <c r="BP121" i="1"/>
  <c r="BM121" i="1"/>
  <c r="BJ121" i="1"/>
  <c r="BG121" i="1"/>
  <c r="BD121" i="1"/>
  <c r="U121" i="1"/>
  <c r="S121" i="1"/>
  <c r="Q121" i="1"/>
  <c r="M121" i="1"/>
  <c r="K121" i="1"/>
  <c r="I121" i="1"/>
  <c r="DR116" i="1"/>
  <c r="DO116" i="1"/>
  <c r="DN116" i="1"/>
  <c r="DG116" i="1"/>
  <c r="DR115" i="1"/>
  <c r="DN115" i="1"/>
  <c r="DO115" i="1"/>
  <c r="DG115" i="1"/>
  <c r="DH115" i="1" s="1"/>
  <c r="DR114" i="1"/>
  <c r="DO114" i="1"/>
  <c r="DN114" i="1"/>
  <c r="DG114" i="1"/>
  <c r="DH114" i="1" s="1"/>
  <c r="DR113" i="1"/>
  <c r="DN113" i="1"/>
  <c r="DO113" i="1"/>
  <c r="DG113" i="1"/>
  <c r="DH113" i="1" s="1"/>
  <c r="DR112" i="1"/>
  <c r="DO112" i="1"/>
  <c r="DN112" i="1"/>
  <c r="DG112" i="1"/>
  <c r="DH112" i="1" s="1"/>
  <c r="E367" i="1"/>
  <c r="DR111" i="1"/>
  <c r="DN111" i="1"/>
  <c r="DO111" i="1"/>
  <c r="C366" i="1"/>
  <c r="DR110" i="1"/>
  <c r="DO110" i="1"/>
  <c r="DN110" i="1"/>
  <c r="DG110" i="1"/>
  <c r="DH110" i="1" s="1"/>
  <c r="L110" i="1" s="1"/>
  <c r="E365" i="1"/>
  <c r="DR109" i="1"/>
  <c r="DN109" i="1"/>
  <c r="DO109" i="1"/>
  <c r="DG109" i="1"/>
  <c r="DH109" i="1" s="1"/>
  <c r="DR108" i="1"/>
  <c r="DO108" i="1"/>
  <c r="DN108" i="1"/>
  <c r="DG108" i="1"/>
  <c r="DH108" i="1" s="1"/>
  <c r="E107" i="1"/>
  <c r="C107" i="1"/>
  <c r="DC106" i="1"/>
  <c r="CZ106" i="1"/>
  <c r="CW106" i="1"/>
  <c r="CT106" i="1"/>
  <c r="CQ106" i="1"/>
  <c r="CN106" i="1"/>
  <c r="CK106" i="1"/>
  <c r="CH106" i="1"/>
  <c r="CE106" i="1"/>
  <c r="CB106" i="1"/>
  <c r="BY106" i="1"/>
  <c r="BV106" i="1"/>
  <c r="BS106" i="1"/>
  <c r="BP106" i="1"/>
  <c r="BM106" i="1"/>
  <c r="BJ106" i="1"/>
  <c r="BG106" i="1"/>
  <c r="BD106" i="1"/>
  <c r="U106" i="1"/>
  <c r="S106" i="1"/>
  <c r="Q106" i="1"/>
  <c r="M106" i="1"/>
  <c r="K106" i="1"/>
  <c r="I106" i="1"/>
  <c r="DR101" i="1"/>
  <c r="DO101" i="1"/>
  <c r="DN101" i="1"/>
  <c r="DG101" i="1"/>
  <c r="DH101" i="1" s="1"/>
  <c r="T101" i="1"/>
  <c r="DR100" i="1"/>
  <c r="DO100" i="1"/>
  <c r="DN100" i="1"/>
  <c r="DP100" i="1" s="1"/>
  <c r="DG100" i="1"/>
  <c r="J100" i="1" s="1"/>
  <c r="DR99" i="1"/>
  <c r="DO99" i="1"/>
  <c r="DN99" i="1"/>
  <c r="DG99" i="1"/>
  <c r="DH99" i="1" s="1"/>
  <c r="DR98" i="1"/>
  <c r="DO98" i="1"/>
  <c r="DN98" i="1"/>
  <c r="DP98" i="1" s="1"/>
  <c r="DG98" i="1"/>
  <c r="DH98" i="1" s="1"/>
  <c r="DR97" i="1"/>
  <c r="DO97" i="1"/>
  <c r="DN97" i="1"/>
  <c r="DP97" i="1" s="1"/>
  <c r="DG97" i="1"/>
  <c r="C352" i="1"/>
  <c r="DR96" i="1"/>
  <c r="DO96" i="1"/>
  <c r="DN96" i="1"/>
  <c r="DG96" i="1"/>
  <c r="E351" i="1"/>
  <c r="DR95" i="1"/>
  <c r="DO95" i="1"/>
  <c r="DP95" i="1" s="1"/>
  <c r="DN95" i="1"/>
  <c r="DG95" i="1"/>
  <c r="DH95" i="1" s="1"/>
  <c r="DR94" i="1"/>
  <c r="DO94" i="1"/>
  <c r="DN94" i="1"/>
  <c r="DR93" i="1"/>
  <c r="DO93" i="1"/>
  <c r="DN93" i="1"/>
  <c r="DG93" i="1"/>
  <c r="DH93" i="1" s="1"/>
  <c r="E92" i="1"/>
  <c r="C92" i="1"/>
  <c r="DC91" i="1"/>
  <c r="CZ91" i="1"/>
  <c r="CW91" i="1"/>
  <c r="CT91" i="1"/>
  <c r="CQ91" i="1"/>
  <c r="CN91" i="1"/>
  <c r="CK91" i="1"/>
  <c r="CH91" i="1"/>
  <c r="CE91" i="1"/>
  <c r="CB91" i="1"/>
  <c r="BY91" i="1"/>
  <c r="BV91" i="1"/>
  <c r="BS91" i="1"/>
  <c r="BP91" i="1"/>
  <c r="BM91" i="1"/>
  <c r="BJ91" i="1"/>
  <c r="BG91" i="1"/>
  <c r="BD91" i="1"/>
  <c r="U91" i="1"/>
  <c r="S91" i="1"/>
  <c r="Q91" i="1"/>
  <c r="M91" i="1"/>
  <c r="K91" i="1"/>
  <c r="I91" i="1"/>
  <c r="DR86" i="1"/>
  <c r="DN86" i="1"/>
  <c r="DO86" i="1"/>
  <c r="DG86" i="1"/>
  <c r="DH86" i="1" s="1"/>
  <c r="DR85" i="1"/>
  <c r="DO85" i="1"/>
  <c r="DN85" i="1"/>
  <c r="DG85" i="1"/>
  <c r="DH85" i="1" s="1"/>
  <c r="DR84" i="1"/>
  <c r="DN84" i="1"/>
  <c r="DO84" i="1"/>
  <c r="DG84" i="1"/>
  <c r="DH84" i="1" s="1"/>
  <c r="E339" i="1"/>
  <c r="DR83" i="1"/>
  <c r="DO83" i="1"/>
  <c r="DN83" i="1"/>
  <c r="DG83" i="1"/>
  <c r="R83" i="1" s="1"/>
  <c r="C338" i="1"/>
  <c r="E338" i="1"/>
  <c r="DR82" i="1"/>
  <c r="DN82" i="1"/>
  <c r="DO82" i="1"/>
  <c r="DG82" i="1"/>
  <c r="L82" i="1" s="1"/>
  <c r="DR81" i="1"/>
  <c r="DO81" i="1"/>
  <c r="DN81" i="1"/>
  <c r="T81" i="1"/>
  <c r="C336" i="1"/>
  <c r="E336" i="1"/>
  <c r="DR80" i="1"/>
  <c r="DN80" i="1"/>
  <c r="DQ80" i="1" s="1"/>
  <c r="DO80" i="1"/>
  <c r="DG80" i="1"/>
  <c r="DR79" i="1"/>
  <c r="DO79" i="1"/>
  <c r="DN79" i="1"/>
  <c r="DP79" i="1" s="1"/>
  <c r="DG79" i="1"/>
  <c r="DR78" i="1"/>
  <c r="DN78" i="1"/>
  <c r="DO78" i="1"/>
  <c r="DP78" i="1" s="1"/>
  <c r="DG78" i="1"/>
  <c r="DH78" i="1" s="1"/>
  <c r="E77" i="1"/>
  <c r="C77" i="1"/>
  <c r="DC76" i="1"/>
  <c r="CZ76" i="1"/>
  <c r="CW76" i="1"/>
  <c r="CT76" i="1"/>
  <c r="CQ76" i="1"/>
  <c r="CN76" i="1"/>
  <c r="CK76" i="1"/>
  <c r="CH76" i="1"/>
  <c r="CE76" i="1"/>
  <c r="CB76" i="1"/>
  <c r="BY76" i="1"/>
  <c r="BV76" i="1"/>
  <c r="BS76" i="1"/>
  <c r="BP76" i="1"/>
  <c r="BM76" i="1"/>
  <c r="BJ76" i="1"/>
  <c r="BG76" i="1"/>
  <c r="BD76" i="1"/>
  <c r="U76" i="1"/>
  <c r="S76" i="1"/>
  <c r="Q76" i="1"/>
  <c r="M76" i="1"/>
  <c r="K76" i="1"/>
  <c r="I76" i="1"/>
  <c r="DR71" i="1"/>
  <c r="DO71" i="1"/>
  <c r="DP71" i="1" s="1"/>
  <c r="DN71" i="1"/>
  <c r="DG71" i="1"/>
  <c r="DH71" i="1" s="1"/>
  <c r="DR70" i="1"/>
  <c r="DO70" i="1"/>
  <c r="DN70" i="1"/>
  <c r="DG70" i="1"/>
  <c r="DH70" i="1" s="1"/>
  <c r="E325" i="1"/>
  <c r="DR69" i="1"/>
  <c r="DO69" i="1"/>
  <c r="DQ69" i="1" s="1"/>
  <c r="DN69" i="1"/>
  <c r="L69" i="1"/>
  <c r="C324" i="1"/>
  <c r="DR68" i="1"/>
  <c r="DO68" i="1"/>
  <c r="DN68" i="1"/>
  <c r="DG68" i="1"/>
  <c r="DH68" i="1" s="1"/>
  <c r="C322" i="1"/>
  <c r="E323" i="1"/>
  <c r="DR67" i="1"/>
  <c r="DO67" i="1"/>
  <c r="DN67" i="1"/>
  <c r="R67" i="1"/>
  <c r="DR66" i="1"/>
  <c r="DO66" i="1"/>
  <c r="DN66" i="1"/>
  <c r="DG66" i="1"/>
  <c r="J66" i="1"/>
  <c r="DR65" i="1"/>
  <c r="DO65" i="1"/>
  <c r="DN65" i="1"/>
  <c r="DG65" i="1"/>
  <c r="DH65" i="1" s="1"/>
  <c r="DR64" i="1"/>
  <c r="DO64" i="1"/>
  <c r="DN64" i="1"/>
  <c r="DP64" i="1" s="1"/>
  <c r="DG64" i="1"/>
  <c r="DH64" i="1" s="1"/>
  <c r="T64" i="1" s="1"/>
  <c r="DR63" i="1"/>
  <c r="DO63" i="1"/>
  <c r="DN63" i="1"/>
  <c r="DG63" i="1"/>
  <c r="R63" i="1" s="1"/>
  <c r="E62" i="1"/>
  <c r="C62" i="1"/>
  <c r="DC61" i="1"/>
  <c r="CZ61" i="1"/>
  <c r="CW61" i="1"/>
  <c r="CT61" i="1"/>
  <c r="CQ61" i="1"/>
  <c r="CN61" i="1"/>
  <c r="CK61" i="1"/>
  <c r="CH61" i="1"/>
  <c r="CE61" i="1"/>
  <c r="CB61" i="1"/>
  <c r="BY61" i="1"/>
  <c r="BV61" i="1"/>
  <c r="BS61" i="1"/>
  <c r="BP61" i="1"/>
  <c r="BM61" i="1"/>
  <c r="BJ61" i="1"/>
  <c r="BG61" i="1"/>
  <c r="BD61" i="1"/>
  <c r="U61" i="1"/>
  <c r="S61" i="1"/>
  <c r="Q61" i="1"/>
  <c r="M61" i="1"/>
  <c r="K61" i="1"/>
  <c r="I61" i="1"/>
  <c r="DR56" i="1"/>
  <c r="DO56" i="1"/>
  <c r="DN56" i="1"/>
  <c r="N56" i="1"/>
  <c r="V56" i="1"/>
  <c r="L56" i="1"/>
  <c r="DR55" i="1"/>
  <c r="DN55" i="1"/>
  <c r="DO55" i="1"/>
  <c r="C310" i="1"/>
  <c r="DR54" i="1"/>
  <c r="DO54" i="1"/>
  <c r="DN54" i="1"/>
  <c r="DR53" i="1"/>
  <c r="DN53" i="1"/>
  <c r="DO53" i="1"/>
  <c r="DG53" i="1"/>
  <c r="DH53" i="1" s="1"/>
  <c r="DR52" i="1"/>
  <c r="DO52" i="1"/>
  <c r="DN52" i="1"/>
  <c r="DG52" i="1"/>
  <c r="DR51" i="1"/>
  <c r="DN51" i="1"/>
  <c r="DO51" i="1"/>
  <c r="DP51" i="1" s="1"/>
  <c r="DR50" i="1"/>
  <c r="DO50" i="1"/>
  <c r="DN50" i="1"/>
  <c r="DG50" i="1"/>
  <c r="T50" i="1" s="1"/>
  <c r="C305" i="1"/>
  <c r="DR49" i="1"/>
  <c r="DN49" i="1"/>
  <c r="DO49" i="1"/>
  <c r="DG49" i="1"/>
  <c r="DH49" i="1" s="1"/>
  <c r="DR48" i="1"/>
  <c r="DO48" i="1"/>
  <c r="DN48" i="1"/>
  <c r="DG48" i="1"/>
  <c r="V48" i="1" s="1"/>
  <c r="E47" i="1"/>
  <c r="C47" i="1"/>
  <c r="DC46" i="1"/>
  <c r="CZ46" i="1"/>
  <c r="CW46" i="1"/>
  <c r="CT46" i="1"/>
  <c r="CQ46" i="1"/>
  <c r="CN46" i="1"/>
  <c r="CK46" i="1"/>
  <c r="CH46" i="1"/>
  <c r="CE46" i="1"/>
  <c r="CB46" i="1"/>
  <c r="BY46" i="1"/>
  <c r="BV46" i="1"/>
  <c r="BS46" i="1"/>
  <c r="BP46" i="1"/>
  <c r="BM46" i="1"/>
  <c r="BJ46" i="1"/>
  <c r="BG46" i="1"/>
  <c r="BD46" i="1"/>
  <c r="U46" i="1"/>
  <c r="S46" i="1"/>
  <c r="Q46" i="1"/>
  <c r="M46" i="1"/>
  <c r="K46" i="1"/>
  <c r="I46" i="1"/>
  <c r="DR41" i="1"/>
  <c r="DO41" i="1"/>
  <c r="DQ41" i="1" s="1"/>
  <c r="DN41" i="1"/>
  <c r="E296" i="1"/>
  <c r="DR40" i="1"/>
  <c r="DO40" i="1"/>
  <c r="DN40" i="1"/>
  <c r="C295" i="1"/>
  <c r="DR39" i="1"/>
  <c r="DO39" i="1"/>
  <c r="DN39" i="1"/>
  <c r="E294" i="1"/>
  <c r="DR38" i="1"/>
  <c r="DO38" i="1"/>
  <c r="DN38" i="1"/>
  <c r="C293" i="1"/>
  <c r="DR37" i="1"/>
  <c r="DO37" i="1"/>
  <c r="DN37" i="1"/>
  <c r="DR36" i="1"/>
  <c r="DO36" i="1"/>
  <c r="DN36" i="1"/>
  <c r="DR35" i="1"/>
  <c r="DO35" i="1"/>
  <c r="DN35" i="1"/>
  <c r="DR34" i="1"/>
  <c r="DO34" i="1"/>
  <c r="DN34" i="1"/>
  <c r="DR33" i="1"/>
  <c r="DO33" i="1"/>
  <c r="DQ33" i="1" s="1"/>
  <c r="DN33" i="1"/>
  <c r="R33" i="1"/>
  <c r="E32" i="1"/>
  <c r="C32" i="1"/>
  <c r="DC31" i="1"/>
  <c r="CZ31" i="1"/>
  <c r="CW31" i="1"/>
  <c r="CT31" i="1"/>
  <c r="CQ31" i="1"/>
  <c r="CN31" i="1"/>
  <c r="CK31" i="1"/>
  <c r="CH31" i="1"/>
  <c r="CE31" i="1"/>
  <c r="CB31" i="1"/>
  <c r="BY31" i="1"/>
  <c r="BV31" i="1"/>
  <c r="BS31" i="1"/>
  <c r="BP31" i="1"/>
  <c r="BM31" i="1"/>
  <c r="BJ31" i="1"/>
  <c r="BG31" i="1"/>
  <c r="BD31" i="1"/>
  <c r="U31" i="1"/>
  <c r="S31" i="1"/>
  <c r="Q31" i="1"/>
  <c r="M31" i="1"/>
  <c r="K31" i="1"/>
  <c r="I31" i="1"/>
  <c r="DR26" i="1"/>
  <c r="DN26" i="1"/>
  <c r="DO26" i="1"/>
  <c r="DG26" i="1"/>
  <c r="DR25" i="1"/>
  <c r="DO25" i="1"/>
  <c r="DN25" i="1"/>
  <c r="DG25" i="1"/>
  <c r="DH25" i="1" s="1"/>
  <c r="DR24" i="1"/>
  <c r="DN24" i="1"/>
  <c r="DQ24" i="1" s="1"/>
  <c r="DO24" i="1"/>
  <c r="DG24" i="1"/>
  <c r="N24" i="1" s="1"/>
  <c r="E279" i="1"/>
  <c r="DR23" i="1"/>
  <c r="DO23" i="1"/>
  <c r="DN23" i="1"/>
  <c r="DG23" i="1"/>
  <c r="DH23" i="1" s="1"/>
  <c r="DR22" i="1"/>
  <c r="DN22" i="1"/>
  <c r="DO22" i="1"/>
  <c r="DG22" i="1"/>
  <c r="DH22" i="1" s="1"/>
  <c r="E277" i="1"/>
  <c r="DR21" i="1"/>
  <c r="DO21" i="1"/>
  <c r="DN21" i="1"/>
  <c r="DP21" i="1" s="1"/>
  <c r="DR20" i="1"/>
  <c r="DN20" i="1"/>
  <c r="DP20" i="1" s="1"/>
  <c r="DO20" i="1"/>
  <c r="DG20" i="1"/>
  <c r="DH20" i="1" s="1"/>
  <c r="DR19" i="1"/>
  <c r="DO19" i="1"/>
  <c r="DN19" i="1"/>
  <c r="DG19" i="1"/>
  <c r="R19" i="1" s="1"/>
  <c r="DT18" i="1"/>
  <c r="DR18" i="1"/>
  <c r="DO18" i="1"/>
  <c r="DN18" i="1"/>
  <c r="DG18" i="1"/>
  <c r="DH18" i="1" s="1"/>
  <c r="DT17" i="1"/>
  <c r="E17" i="1"/>
  <c r="C17" i="1"/>
  <c r="DT16" i="1"/>
  <c r="DC16" i="1"/>
  <c r="CZ16" i="1"/>
  <c r="CW16" i="1"/>
  <c r="CT16" i="1"/>
  <c r="CQ16" i="1"/>
  <c r="CN16" i="1"/>
  <c r="CK16" i="1"/>
  <c r="CH16" i="1"/>
  <c r="CE16" i="1"/>
  <c r="CB16" i="1"/>
  <c r="BY16" i="1"/>
  <c r="BV16" i="1"/>
  <c r="BS16" i="1"/>
  <c r="BP16" i="1"/>
  <c r="BM16" i="1"/>
  <c r="BJ16" i="1"/>
  <c r="BG16" i="1"/>
  <c r="BD16" i="1"/>
  <c r="U16" i="1"/>
  <c r="S16" i="1"/>
  <c r="Q16" i="1"/>
  <c r="M16" i="1"/>
  <c r="K16" i="1"/>
  <c r="DT15" i="1"/>
  <c r="DT14" i="1"/>
  <c r="DT13" i="1"/>
  <c r="DT12" i="1"/>
  <c r="DT11" i="1"/>
  <c r="DR11" i="1"/>
  <c r="DO11" i="1"/>
  <c r="DN11" i="1"/>
  <c r="DT10" i="1"/>
  <c r="DR10" i="1"/>
  <c r="DO10" i="1"/>
  <c r="DN10" i="1"/>
  <c r="DG10" i="1"/>
  <c r="DH10" i="1" s="1"/>
  <c r="E265" i="1"/>
  <c r="DT9" i="1"/>
  <c r="DR9" i="1"/>
  <c r="DO9" i="1"/>
  <c r="DP9" i="1" s="1"/>
  <c r="DN9" i="1"/>
  <c r="DG9" i="1"/>
  <c r="DH9" i="1" s="1"/>
  <c r="DT8" i="1"/>
  <c r="DR8" i="1"/>
  <c r="DO8" i="1"/>
  <c r="DN8" i="1"/>
  <c r="DG8" i="1"/>
  <c r="DT7" i="1"/>
  <c r="DR7" i="1"/>
  <c r="DO7" i="1"/>
  <c r="DN7" i="1"/>
  <c r="DG7" i="1"/>
  <c r="DH7" i="1" s="1"/>
  <c r="DT6" i="1"/>
  <c r="DR6" i="1"/>
  <c r="DO6" i="1"/>
  <c r="DN6" i="1"/>
  <c r="DG6" i="1"/>
  <c r="DH6" i="1" s="1"/>
  <c r="P6" i="1" s="1"/>
  <c r="DT5" i="1"/>
  <c r="DR5" i="1"/>
  <c r="DO5" i="1"/>
  <c r="DN5" i="1"/>
  <c r="DT4" i="1"/>
  <c r="DR4" i="1"/>
  <c r="DO4" i="1"/>
  <c r="DQ4" i="1" s="1"/>
  <c r="DN4" i="1"/>
  <c r="DG4" i="1"/>
  <c r="DH4" i="1" s="1"/>
  <c r="P4" i="1" s="1"/>
  <c r="C259" i="1"/>
  <c r="DT3" i="1"/>
  <c r="DR3" i="1"/>
  <c r="DO3" i="1"/>
  <c r="DN3" i="1"/>
  <c r="DG3" i="1"/>
  <c r="DH3" i="1" s="1"/>
  <c r="V3" i="1" s="1"/>
  <c r="DT2" i="1"/>
  <c r="E2" i="1"/>
  <c r="C2" i="1"/>
  <c r="DT1" i="1"/>
  <c r="DC1" i="1"/>
  <c r="CZ1" i="1"/>
  <c r="CW1" i="1"/>
  <c r="CT1" i="1"/>
  <c r="CQ1" i="1"/>
  <c r="CN1" i="1"/>
  <c r="CK1" i="1"/>
  <c r="CH1" i="1"/>
  <c r="CE1" i="1"/>
  <c r="CB1" i="1"/>
  <c r="BY1" i="1"/>
  <c r="BV1" i="1"/>
  <c r="BS1" i="1"/>
  <c r="BP1" i="1"/>
  <c r="BM1" i="1"/>
  <c r="BJ1" i="1"/>
  <c r="BG1" i="1"/>
  <c r="BD1" i="1"/>
  <c r="U1" i="1"/>
  <c r="S1" i="1"/>
  <c r="Q1" i="1"/>
  <c r="M1" i="1"/>
  <c r="K1" i="1"/>
  <c r="I1" i="1"/>
  <c r="L399" i="1"/>
  <c r="R399" i="1"/>
  <c r="N399" i="1"/>
  <c r="V399" i="1"/>
  <c r="DP401" i="1"/>
  <c r="V401" i="1"/>
  <c r="J397" i="1"/>
  <c r="T396" i="1"/>
  <c r="N395" i="1"/>
  <c r="V395" i="1"/>
  <c r="R393" i="1"/>
  <c r="T393" i="1"/>
  <c r="N393" i="1"/>
  <c r="V393" i="1"/>
  <c r="DP386" i="1"/>
  <c r="J382" i="1"/>
  <c r="T382" i="1"/>
  <c r="T378" i="1"/>
  <c r="R369" i="1"/>
  <c r="J369" i="1"/>
  <c r="V369" i="1"/>
  <c r="N369" i="1"/>
  <c r="J368" i="1"/>
  <c r="T368" i="1"/>
  <c r="L368" i="1"/>
  <c r="V368" i="1"/>
  <c r="R368" i="1"/>
  <c r="J365" i="1"/>
  <c r="V364" i="1"/>
  <c r="R363" i="1"/>
  <c r="T356" i="1"/>
  <c r="R355" i="1"/>
  <c r="V353" i="1"/>
  <c r="R348" i="1"/>
  <c r="V334" i="1"/>
  <c r="R334" i="1"/>
  <c r="T334" i="1"/>
  <c r="DP321" i="1"/>
  <c r="R311" i="1"/>
  <c r="DP311" i="1"/>
  <c r="DP306" i="1"/>
  <c r="T308" i="1"/>
  <c r="T294" i="1"/>
  <c r="DQ289" i="1"/>
  <c r="V288" i="1"/>
  <c r="DP281" i="1"/>
  <c r="L280" i="1"/>
  <c r="DP265" i="1"/>
  <c r="T263" i="1"/>
  <c r="N263" i="1"/>
  <c r="V261" i="1"/>
  <c r="T260" i="1"/>
  <c r="J266" i="1"/>
  <c r="R244" i="1"/>
  <c r="T244" i="1"/>
  <c r="N244" i="1"/>
  <c r="N236" i="1"/>
  <c r="R236" i="1"/>
  <c r="R235" i="1"/>
  <c r="T230" i="1"/>
  <c r="J230" i="1"/>
  <c r="DP220" i="1"/>
  <c r="V219" i="1"/>
  <c r="R215" i="1"/>
  <c r="N217" i="1"/>
  <c r="R217" i="1"/>
  <c r="V206" i="1"/>
  <c r="N205" i="1"/>
  <c r="N203" i="1"/>
  <c r="J203" i="1"/>
  <c r="R203" i="1"/>
  <c r="J201" i="1"/>
  <c r="T201" i="1"/>
  <c r="L201" i="1"/>
  <c r="N201" i="1"/>
  <c r="V201" i="1"/>
  <c r="T200" i="1"/>
  <c r="L191" i="1"/>
  <c r="N191" i="1"/>
  <c r="R191" i="1"/>
  <c r="L187" i="1"/>
  <c r="DQ171" i="1"/>
  <c r="J174" i="1"/>
  <c r="DP176" i="1"/>
  <c r="T160" i="1"/>
  <c r="R158" i="1"/>
  <c r="L158" i="1"/>
  <c r="N157" i="1"/>
  <c r="V157" i="1"/>
  <c r="J157" i="1"/>
  <c r="R157" i="1"/>
  <c r="T156" i="1"/>
  <c r="J156" i="1"/>
  <c r="J146" i="1"/>
  <c r="L144" i="1"/>
  <c r="T142" i="1"/>
  <c r="N142" i="1"/>
  <c r="L142" i="1"/>
  <c r="J142" i="1"/>
  <c r="T141" i="1"/>
  <c r="N141" i="1"/>
  <c r="T140" i="1"/>
  <c r="N145" i="1"/>
  <c r="R5" i="1"/>
  <c r="T5" i="1"/>
  <c r="J5" i="1"/>
  <c r="T49" i="1"/>
  <c r="L49" i="1"/>
  <c r="J67" i="1"/>
  <c r="T86" i="1"/>
  <c r="N5" i="1"/>
  <c r="V5" i="1"/>
  <c r="V8" i="1"/>
  <c r="DP19" i="1"/>
  <c r="N33" i="1"/>
  <c r="V33" i="1"/>
  <c r="V40" i="1"/>
  <c r="L50" i="1"/>
  <c r="DP52" i="1"/>
  <c r="DP54" i="1"/>
  <c r="DP56" i="1"/>
  <c r="V69" i="1"/>
  <c r="N69" i="1"/>
  <c r="DP85" i="1"/>
  <c r="N96" i="1"/>
  <c r="V96" i="1"/>
  <c r="R97" i="1"/>
  <c r="N98" i="1"/>
  <c r="V98" i="1"/>
  <c r="J101" i="1"/>
  <c r="T110" i="1"/>
  <c r="DP112" i="1"/>
  <c r="DP126" i="1"/>
  <c r="DP130" i="1"/>
  <c r="R51" i="1"/>
  <c r="J53" i="1"/>
  <c r="J55" i="1"/>
  <c r="N78" i="1"/>
  <c r="J84" i="1"/>
  <c r="J86" i="1"/>
  <c r="R86" i="1"/>
  <c r="R113" i="1"/>
  <c r="J127" i="1"/>
  <c r="Q2" i="24"/>
  <c r="KA2" i="33"/>
  <c r="AY41" i="33" s="1"/>
  <c r="T53" i="1"/>
  <c r="L86" i="1"/>
  <c r="C393" i="1"/>
  <c r="J2" i="24"/>
  <c r="EX2" i="33"/>
  <c r="V22" i="1"/>
  <c r="V24" i="1"/>
  <c r="N26" i="1"/>
  <c r="L33" i="1"/>
  <c r="V49" i="1"/>
  <c r="N53" i="1"/>
  <c r="V53" i="1"/>
  <c r="J78" i="1"/>
  <c r="R78" i="1"/>
  <c r="V80" i="1"/>
  <c r="V84" i="1"/>
  <c r="N86" i="1"/>
  <c r="V86" i="1"/>
  <c r="V113" i="1"/>
  <c r="N115" i="1"/>
  <c r="N127" i="1"/>
  <c r="BT138" i="1"/>
  <c r="V396" i="1"/>
  <c r="J396" i="1"/>
  <c r="N396" i="1"/>
  <c r="R396" i="1"/>
  <c r="T394" i="1"/>
  <c r="L394" i="1"/>
  <c r="V378" i="1"/>
  <c r="N365" i="1"/>
  <c r="R365" i="1"/>
  <c r="L365" i="1"/>
  <c r="J334" i="1"/>
  <c r="L334" i="1"/>
  <c r="J318" i="1"/>
  <c r="L318" i="1"/>
  <c r="V266" i="1"/>
  <c r="N266" i="1"/>
  <c r="L251" i="1"/>
  <c r="J243" i="1"/>
  <c r="T206" i="1"/>
  <c r="J206" i="1"/>
  <c r="V200" i="1"/>
  <c r="V198" i="1"/>
  <c r="J198" i="1"/>
  <c r="L198" i="1"/>
  <c r="T187" i="1"/>
  <c r="R187" i="1"/>
  <c r="V173" i="1"/>
  <c r="V160" i="1"/>
  <c r="N160" i="1"/>
  <c r="T144" i="1"/>
  <c r="N144" i="1"/>
  <c r="N138" i="1"/>
  <c r="R138" i="1"/>
  <c r="T138" i="1"/>
  <c r="C409" i="1"/>
  <c r="L349" i="1"/>
  <c r="E273" i="1"/>
  <c r="R25" i="1"/>
  <c r="L25" i="1"/>
  <c r="V25" i="1"/>
  <c r="N54" i="1"/>
  <c r="R318" i="1"/>
  <c r="T26" i="1"/>
  <c r="L26" i="1"/>
  <c r="DQ8" i="1"/>
  <c r="L10" i="1"/>
  <c r="L66" i="1"/>
  <c r="T66" i="1"/>
  <c r="DP66" i="1"/>
  <c r="N52" i="1"/>
  <c r="R52" i="1"/>
  <c r="V52" i="1"/>
  <c r="N68" i="1"/>
  <c r="V68" i="1"/>
  <c r="N81" i="1"/>
  <c r="R81" i="1"/>
  <c r="V81" i="1"/>
  <c r="J81" i="1"/>
  <c r="L83" i="1"/>
  <c r="T83" i="1"/>
  <c r="R98" i="1"/>
  <c r="V115" i="1"/>
  <c r="L115" i="1"/>
  <c r="L19" i="1"/>
  <c r="T19" i="1"/>
  <c r="N66" i="1"/>
  <c r="V66" i="1"/>
  <c r="N79" i="1"/>
  <c r="R79" i="1"/>
  <c r="DP93" i="1"/>
  <c r="T98" i="1"/>
  <c r="N108" i="1"/>
  <c r="DQ115" i="1"/>
  <c r="DP161" i="1"/>
  <c r="DQ175" i="1"/>
  <c r="V110" i="1"/>
  <c r="DP172" i="1"/>
  <c r="R127" i="1"/>
  <c r="DP139" i="1"/>
  <c r="J158" i="1"/>
  <c r="J173" i="1"/>
  <c r="DQ184" i="1"/>
  <c r="L214" i="1"/>
  <c r="L218" i="1"/>
  <c r="L244" i="1"/>
  <c r="J244" i="1"/>
  <c r="J191" i="1"/>
  <c r="DP198" i="1"/>
  <c r="DP213" i="1"/>
  <c r="DP219" i="1"/>
  <c r="DP249" i="1"/>
  <c r="DQ249" i="1"/>
  <c r="DQ258" i="1"/>
  <c r="DQ260" i="1"/>
  <c r="DQ273" i="1"/>
  <c r="DP290" i="1"/>
  <c r="DQ326" i="1"/>
  <c r="DQ339" i="1"/>
  <c r="DP339" i="1"/>
  <c r="R349" i="1"/>
  <c r="DQ352" i="1"/>
  <c r="L354" i="1"/>
  <c r="J379" i="1"/>
  <c r="R379" i="1"/>
  <c r="J294" i="1"/>
  <c r="N308" i="1"/>
  <c r="DQ309" i="1"/>
  <c r="DQ321" i="1"/>
  <c r="N322" i="1"/>
  <c r="V338" i="1"/>
  <c r="DQ355" i="1"/>
  <c r="L260" i="1"/>
  <c r="J261" i="1"/>
  <c r="DP263" i="1"/>
  <c r="DP276" i="1"/>
  <c r="V363" i="1"/>
  <c r="N363" i="1"/>
  <c r="L363" i="1"/>
  <c r="J370" i="1"/>
  <c r="T370" i="1"/>
  <c r="V321" i="1"/>
  <c r="DQ350" i="1"/>
  <c r="DP350" i="1"/>
  <c r="J363" i="1"/>
  <c r="V326" i="1"/>
  <c r="DP379" i="1"/>
  <c r="DP395" i="1"/>
  <c r="DQ397" i="1"/>
  <c r="T380" i="1"/>
  <c r="R380" i="1"/>
  <c r="L382" i="1"/>
  <c r="L397" i="1"/>
  <c r="DQ399" i="1"/>
  <c r="DP400" i="1"/>
  <c r="R115" i="1"/>
  <c r="T115" i="1"/>
  <c r="L366" i="1"/>
  <c r="V366" i="1"/>
  <c r="R366" i="1"/>
  <c r="N366" i="1"/>
  <c r="J366" i="1"/>
  <c r="T366" i="1"/>
  <c r="T379" i="1"/>
  <c r="R3" i="1"/>
  <c r="V431" i="1"/>
  <c r="T431" i="1"/>
  <c r="V427" i="1"/>
  <c r="J457" i="1"/>
  <c r="J459" i="1"/>
  <c r="T459" i="1"/>
  <c r="N459" i="1"/>
  <c r="N457" i="1"/>
  <c r="T457" i="1"/>
  <c r="R457" i="1"/>
  <c r="V459" i="1"/>
  <c r="V457" i="1"/>
  <c r="DP461" i="1"/>
  <c r="V322" i="1"/>
  <c r="R10" i="1"/>
  <c r="L169" i="1"/>
  <c r="N378" i="1"/>
  <c r="L5" i="1"/>
  <c r="DQ9" i="1"/>
  <c r="T39" i="1"/>
  <c r="L378" i="1"/>
  <c r="J378" i="1"/>
  <c r="L9" i="1"/>
  <c r="R48" i="1"/>
  <c r="V50" i="1"/>
  <c r="L52" i="1"/>
  <c r="T70" i="1"/>
  <c r="L85" i="1"/>
  <c r="T85" i="1"/>
  <c r="V85" i="1"/>
  <c r="L100" i="1"/>
  <c r="DP111" i="1"/>
  <c r="V127" i="1"/>
  <c r="T127" i="1"/>
  <c r="DP129" i="1"/>
  <c r="DQ129" i="1"/>
  <c r="DP131" i="1"/>
  <c r="DQ131" i="1"/>
  <c r="DQ143" i="1"/>
  <c r="DP143" i="1"/>
  <c r="V37" i="1"/>
  <c r="L41" i="1"/>
  <c r="J52" i="1"/>
  <c r="T52" i="1"/>
  <c r="L55" i="1"/>
  <c r="J56" i="1"/>
  <c r="T56" i="1"/>
  <c r="DQ85" i="1"/>
  <c r="L93" i="1"/>
  <c r="J98" i="1"/>
  <c r="V101" i="1"/>
  <c r="L84" i="1"/>
  <c r="L98" i="1"/>
  <c r="R129" i="1"/>
  <c r="T218" i="1"/>
  <c r="V218" i="1"/>
  <c r="DQ245" i="1"/>
  <c r="L79" i="1"/>
  <c r="T79" i="1"/>
  <c r="L101" i="1"/>
  <c r="DQ169" i="1"/>
  <c r="DP171" i="1"/>
  <c r="R201" i="1"/>
  <c r="DP206" i="1"/>
  <c r="T215" i="1"/>
  <c r="L215" i="1"/>
  <c r="DP278" i="1"/>
  <c r="V323" i="1"/>
  <c r="J130" i="1"/>
  <c r="V130" i="1"/>
  <c r="L130" i="1"/>
  <c r="E393" i="1"/>
  <c r="T191" i="1"/>
  <c r="DP216" i="1"/>
  <c r="N247" i="1"/>
  <c r="J247" i="1"/>
  <c r="DP365" i="1"/>
  <c r="DQ173" i="1"/>
  <c r="J218" i="1"/>
  <c r="DQ246" i="1"/>
  <c r="N319" i="1"/>
  <c r="DP348" i="1"/>
  <c r="DQ348" i="1"/>
  <c r="DQ320" i="1"/>
  <c r="DQ410" i="1"/>
  <c r="DQ427" i="1"/>
  <c r="DP427" i="1"/>
  <c r="N446" i="1"/>
  <c r="L446" i="1"/>
  <c r="V260" i="1"/>
  <c r="DQ293" i="1"/>
  <c r="DQ337" i="1"/>
  <c r="T414" i="1"/>
  <c r="L414" i="1"/>
  <c r="T273" i="1"/>
  <c r="DP335" i="1"/>
  <c r="V356" i="1"/>
  <c r="T412" i="1"/>
  <c r="N412" i="1"/>
  <c r="V412" i="1"/>
  <c r="L412" i="1"/>
  <c r="R412" i="1"/>
  <c r="DP356" i="1"/>
  <c r="DQ370" i="1"/>
  <c r="DQ382" i="1"/>
  <c r="L393" i="1"/>
  <c r="J393" i="1"/>
  <c r="DQ395" i="1"/>
  <c r="DQ400" i="1"/>
  <c r="V423" i="1"/>
  <c r="R423" i="1"/>
  <c r="DQ425" i="1"/>
  <c r="V445" i="1"/>
  <c r="V446" i="1"/>
  <c r="T446" i="1"/>
  <c r="R446" i="1"/>
  <c r="J446" i="1"/>
  <c r="DQ443" i="1"/>
  <c r="DP444" i="1"/>
  <c r="T443" i="1"/>
  <c r="T440" i="1"/>
  <c r="J438" i="1"/>
  <c r="V438" i="1"/>
  <c r="DP438" i="1"/>
  <c r="N130" i="1"/>
  <c r="T69" i="1"/>
  <c r="J69" i="1"/>
  <c r="R85" i="1"/>
  <c r="R351" i="1"/>
  <c r="T323" i="1"/>
  <c r="R70" i="1"/>
  <c r="R364" i="1"/>
  <c r="R93" i="1"/>
  <c r="V39" i="1"/>
  <c r="N39" i="1"/>
  <c r="L39" i="1"/>
  <c r="L440" i="1"/>
  <c r="V442" i="1"/>
  <c r="R442" i="1"/>
  <c r="N442" i="1"/>
  <c r="J442" i="1"/>
  <c r="T442" i="1"/>
  <c r="L442" i="1"/>
  <c r="R443" i="1"/>
  <c r="N443" i="1"/>
  <c r="J443" i="1"/>
  <c r="J439" i="1"/>
  <c r="DP472" i="1"/>
  <c r="N470" i="1"/>
  <c r="T470" i="1"/>
  <c r="J473" i="1"/>
  <c r="L473" i="1"/>
  <c r="DQ475" i="1"/>
  <c r="J470" i="1"/>
  <c r="R470" i="1"/>
  <c r="R469" i="1"/>
  <c r="T473" i="1"/>
  <c r="V473" i="1"/>
  <c r="N352" i="1"/>
  <c r="T352" i="1"/>
  <c r="V352" i="1"/>
  <c r="N139" i="1"/>
  <c r="V440" i="1"/>
  <c r="R440" i="1"/>
  <c r="T129" i="1"/>
  <c r="L443" i="1"/>
  <c r="J213" i="1"/>
  <c r="V213" i="1"/>
  <c r="N213" i="1"/>
  <c r="R213" i="1"/>
  <c r="N379" i="1"/>
  <c r="V379" i="1"/>
  <c r="L213" i="1"/>
  <c r="J395" i="1"/>
  <c r="DQ7" i="1"/>
  <c r="DQ34" i="1"/>
  <c r="DP34" i="1"/>
  <c r="DQ37" i="1"/>
  <c r="DP37" i="1"/>
  <c r="V41" i="1"/>
  <c r="DQ48" i="1"/>
  <c r="DP48" i="1"/>
  <c r="N288" i="1"/>
  <c r="J144" i="1"/>
  <c r="T198" i="1"/>
  <c r="J248" i="1"/>
  <c r="DQ11" i="1"/>
  <c r="DP11" i="1"/>
  <c r="L51" i="1"/>
  <c r="C304" i="1"/>
  <c r="T68" i="1"/>
  <c r="L68" i="1"/>
  <c r="J125" i="1"/>
  <c r="T311" i="1"/>
  <c r="DQ5" i="1"/>
  <c r="V7" i="1"/>
  <c r="L8" i="1"/>
  <c r="T25" i="1"/>
  <c r="R37" i="1"/>
  <c r="DQ71" i="1"/>
  <c r="R18" i="1"/>
  <c r="DQ35" i="1"/>
  <c r="DP35" i="1"/>
  <c r="J97" i="1"/>
  <c r="V97" i="1"/>
  <c r="N97" i="1"/>
  <c r="T97" i="1"/>
  <c r="L97" i="1"/>
  <c r="T337" i="1"/>
  <c r="N19" i="1"/>
  <c r="V19" i="1"/>
  <c r="R69" i="1"/>
  <c r="J79" i="1"/>
  <c r="DQ99" i="1"/>
  <c r="L116" i="1"/>
  <c r="J71" i="1"/>
  <c r="V83" i="1"/>
  <c r="J83" i="1"/>
  <c r="DP184" i="1"/>
  <c r="DQ130" i="1"/>
  <c r="R205" i="1"/>
  <c r="N279" i="1"/>
  <c r="J424" i="1"/>
  <c r="N424" i="1"/>
  <c r="L424" i="1"/>
  <c r="DQ139" i="1"/>
  <c r="DQ154" i="1"/>
  <c r="DQ161" i="1"/>
  <c r="DQ198" i="1"/>
  <c r="DP199" i="1"/>
  <c r="DQ203" i="1"/>
  <c r="DP203" i="1"/>
  <c r="T424" i="1"/>
  <c r="DQ97" i="1"/>
  <c r="DQ110" i="1"/>
  <c r="C470" i="1"/>
  <c r="V250" i="1"/>
  <c r="DQ251" i="1"/>
  <c r="DP280" i="1"/>
  <c r="V308" i="1"/>
  <c r="L308" i="1"/>
  <c r="T399" i="1"/>
  <c r="L401" i="1"/>
  <c r="V415" i="1"/>
  <c r="DQ456" i="1"/>
  <c r="DP456" i="1"/>
  <c r="L288" i="1"/>
  <c r="J288" i="1"/>
  <c r="DQ454" i="1"/>
  <c r="DQ231" i="1"/>
  <c r="DQ474" i="1"/>
  <c r="R474" i="1"/>
  <c r="V474" i="1"/>
  <c r="L415" i="1"/>
  <c r="J415" i="1"/>
  <c r="T415" i="1"/>
  <c r="L337" i="1"/>
  <c r="R308" i="1"/>
  <c r="J308" i="1"/>
  <c r="R250" i="1"/>
  <c r="T250" i="1"/>
  <c r="V424" i="1"/>
  <c r="N18" i="1"/>
  <c r="V18" i="1"/>
  <c r="T18" i="1"/>
  <c r="L18" i="1"/>
  <c r="J18" i="1"/>
  <c r="L125" i="1"/>
  <c r="R125" i="1"/>
  <c r="V214" i="1"/>
  <c r="J214" i="1"/>
  <c r="V205" i="1"/>
  <c r="L205" i="1"/>
  <c r="L199" i="1"/>
  <c r="L204" i="1"/>
  <c r="L206" i="1"/>
  <c r="T205" i="1"/>
  <c r="J205" i="1"/>
  <c r="L279" i="1"/>
  <c r="J6" i="1"/>
  <c r="V6" i="1"/>
  <c r="V51" i="1"/>
  <c r="N51" i="1"/>
  <c r="T51" i="1"/>
  <c r="E353" i="1"/>
  <c r="T484" i="1"/>
  <c r="L484" i="1"/>
  <c r="N484" i="1"/>
  <c r="V484" i="1"/>
  <c r="DP485" i="1"/>
  <c r="DQ486" i="1"/>
  <c r="DQ485" i="1"/>
  <c r="T486" i="1"/>
  <c r="J486" i="1"/>
  <c r="V488" i="1"/>
  <c r="L488" i="1"/>
  <c r="T445" i="1"/>
  <c r="DP3" i="1"/>
  <c r="DQ52" i="1"/>
  <c r="DP65" i="1"/>
  <c r="DQ65" i="1"/>
  <c r="DQ78" i="1"/>
  <c r="DQ49" i="1"/>
  <c r="L53" i="1"/>
  <c r="DP69" i="1"/>
  <c r="N83" i="1"/>
  <c r="DP170" i="1"/>
  <c r="DQ333" i="1"/>
  <c r="J326" i="1"/>
  <c r="DP384" i="1"/>
  <c r="J385" i="1"/>
  <c r="R398" i="1"/>
  <c r="R459" i="1"/>
  <c r="DP474" i="1"/>
  <c r="DQ385" i="1"/>
  <c r="DQ393" i="1"/>
  <c r="DQ408" i="1"/>
  <c r="J425" i="1"/>
  <c r="N476" i="1"/>
  <c r="L111" i="1"/>
  <c r="R260" i="1"/>
  <c r="N489" i="1"/>
  <c r="J489" i="1"/>
  <c r="T157" i="1"/>
  <c r="L157" i="1"/>
  <c r="L217" i="1"/>
  <c r="N280" i="1"/>
  <c r="V333" i="1"/>
  <c r="T55" i="1"/>
  <c r="L265" i="1"/>
  <c r="V265" i="1"/>
  <c r="T265" i="1"/>
  <c r="R265" i="1"/>
  <c r="R276" i="1"/>
  <c r="N385" i="1"/>
  <c r="L385" i="1"/>
  <c r="R385" i="1"/>
  <c r="R7" i="1"/>
  <c r="R8" i="1"/>
  <c r="R9" i="1"/>
  <c r="N11" i="1"/>
  <c r="R11" i="1"/>
  <c r="J7" i="1"/>
  <c r="J8" i="1"/>
  <c r="J10" i="1"/>
  <c r="J11" i="1"/>
  <c r="L7" i="1"/>
  <c r="N7" i="1"/>
  <c r="N8" i="1"/>
  <c r="N10" i="1"/>
  <c r="T8" i="1"/>
  <c r="T10" i="1"/>
  <c r="T11" i="1"/>
  <c r="V10" i="1"/>
  <c r="V11" i="1"/>
  <c r="C379" i="1"/>
  <c r="C416" i="1"/>
  <c r="E505" i="1"/>
  <c r="C457" i="1"/>
  <c r="E471" i="1"/>
  <c r="C423" i="1"/>
  <c r="C471" i="1"/>
  <c r="CU18" i="1"/>
  <c r="E428" i="1"/>
  <c r="GJ2" i="33"/>
  <c r="GK10" i="33" s="1"/>
  <c r="FQ2" i="33"/>
  <c r="R68" i="1"/>
  <c r="J68" i="1"/>
  <c r="L64" i="1"/>
  <c r="R64" i="1"/>
  <c r="J70" i="1"/>
  <c r="N70" i="1"/>
  <c r="DP63" i="1"/>
  <c r="R65" i="1"/>
  <c r="N63" i="1"/>
  <c r="V63" i="1"/>
  <c r="L70" i="1"/>
  <c r="DQ63" i="1"/>
  <c r="V82" i="1"/>
  <c r="N82" i="1"/>
  <c r="N84" i="1"/>
  <c r="R84" i="1"/>
  <c r="N80" i="1"/>
  <c r="DP80" i="1"/>
  <c r="L81" i="1"/>
  <c r="T84" i="1"/>
  <c r="DP84" i="1"/>
  <c r="DQ81" i="1"/>
  <c r="R100" i="1"/>
  <c r="DQ101" i="1"/>
  <c r="V111" i="1"/>
  <c r="T111" i="1"/>
  <c r="N111" i="1"/>
  <c r="R116" i="1"/>
  <c r="R110" i="1"/>
  <c r="R114" i="1"/>
  <c r="N116" i="1"/>
  <c r="T116" i="1"/>
  <c r="T114" i="1"/>
  <c r="DQ111" i="1"/>
  <c r="N129" i="1"/>
  <c r="V129" i="1"/>
  <c r="R160" i="1"/>
  <c r="L160" i="1"/>
  <c r="J160" i="1"/>
  <c r="N187" i="1"/>
  <c r="V187" i="1"/>
  <c r="N188" i="1"/>
  <c r="L188" i="1"/>
  <c r="V188" i="1"/>
  <c r="T188" i="1"/>
  <c r="V191" i="1"/>
  <c r="N206" i="1"/>
  <c r="J204" i="1"/>
  <c r="R206" i="1"/>
  <c r="R204" i="1"/>
  <c r="V199" i="1"/>
  <c r="R199" i="1"/>
  <c r="R219" i="1"/>
  <c r="J219" i="1"/>
  <c r="L219" i="1"/>
  <c r="T219" i="1"/>
  <c r="N219" i="1"/>
  <c r="N218" i="1"/>
  <c r="J221" i="1"/>
  <c r="N221" i="1"/>
  <c r="L221" i="1"/>
  <c r="N250" i="1"/>
  <c r="J250" i="1"/>
  <c r="N251" i="1"/>
  <c r="L250" i="1"/>
  <c r="R248" i="1"/>
  <c r="L248" i="1"/>
  <c r="V248" i="1"/>
  <c r="L263" i="1"/>
  <c r="R263" i="1"/>
  <c r="DQ263" i="1"/>
  <c r="V263" i="1"/>
  <c r="R266" i="1"/>
  <c r="V247" i="1"/>
  <c r="DP273" i="1"/>
  <c r="DQ278" i="1"/>
  <c r="J280" i="1"/>
  <c r="J276" i="1"/>
  <c r="N276" i="1"/>
  <c r="V276" i="1"/>
  <c r="L276" i="1"/>
  <c r="DQ303" i="1"/>
  <c r="DQ306" i="1"/>
  <c r="R259" i="1"/>
  <c r="N323" i="1"/>
  <c r="J323" i="1"/>
  <c r="L323" i="1"/>
  <c r="R321" i="1"/>
  <c r="N326" i="1"/>
  <c r="DP325" i="1"/>
  <c r="R319" i="1"/>
  <c r="L319" i="1"/>
  <c r="T319" i="1"/>
  <c r="N356" i="1"/>
  <c r="R356" i="1"/>
  <c r="L356" i="1"/>
  <c r="DP352" i="1"/>
  <c r="R353" i="1"/>
  <c r="L350" i="1"/>
  <c r="R350" i="1"/>
  <c r="J338" i="1"/>
  <c r="L338" i="1"/>
  <c r="R338" i="1"/>
  <c r="N338" i="1"/>
  <c r="T338" i="1"/>
  <c r="DP340" i="1"/>
  <c r="J336" i="1"/>
  <c r="V337" i="1"/>
  <c r="DQ341" i="1"/>
  <c r="DP337" i="1"/>
  <c r="T350" i="1"/>
  <c r="V350" i="1"/>
  <c r="T363" i="1"/>
  <c r="F373" i="1"/>
  <c r="R367" i="1"/>
  <c r="J367" i="1"/>
  <c r="T367" i="1"/>
  <c r="V367" i="1"/>
  <c r="N370" i="1"/>
  <c r="R370" i="1"/>
  <c r="L370" i="1"/>
  <c r="V370" i="1"/>
  <c r="N367" i="1"/>
  <c r="L367" i="1"/>
  <c r="N368" i="1"/>
  <c r="T371" i="1"/>
  <c r="N371" i="1"/>
  <c r="J371" i="1"/>
  <c r="V371" i="1"/>
  <c r="R371" i="1"/>
  <c r="T385" i="1"/>
  <c r="V385" i="1"/>
  <c r="J383" i="1"/>
  <c r="N383" i="1"/>
  <c r="T383" i="1"/>
  <c r="R378" i="1"/>
  <c r="V381" i="1"/>
  <c r="L380" i="1"/>
  <c r="J398" i="1"/>
  <c r="V398" i="1"/>
  <c r="F403" i="1"/>
  <c r="N401" i="1"/>
  <c r="R401" i="1"/>
  <c r="T401" i="1"/>
  <c r="J401" i="1"/>
  <c r="N415" i="1"/>
  <c r="R415" i="1"/>
  <c r="V414" i="1"/>
  <c r="N410" i="1"/>
  <c r="R410" i="1"/>
  <c r="T410" i="1"/>
  <c r="DP408" i="1"/>
  <c r="R408" i="1"/>
  <c r="J416" i="1"/>
  <c r="E423" i="1"/>
  <c r="BJ168" i="1"/>
  <c r="C350" i="1"/>
  <c r="E309" i="1"/>
  <c r="E307" i="1"/>
  <c r="E443" i="1"/>
  <c r="C401" i="1"/>
  <c r="C291" i="1"/>
  <c r="E503" i="1"/>
  <c r="E262" i="1"/>
  <c r="F2" i="24"/>
  <c r="BZ2" i="33"/>
  <c r="A47" i="33" s="1"/>
  <c r="N2" i="24"/>
  <c r="HV2" i="33"/>
  <c r="CE18" i="1"/>
  <c r="BK18" i="1"/>
  <c r="C307" i="1"/>
  <c r="CO48" i="1"/>
  <c r="BG78" i="1"/>
  <c r="C340" i="1"/>
  <c r="CC108" i="1"/>
  <c r="C371" i="1"/>
  <c r="EY11" i="33"/>
  <c r="E386" i="1"/>
  <c r="CB123" i="1"/>
  <c r="BG123" i="1"/>
  <c r="EX12" i="33"/>
  <c r="FD12" i="33" s="1"/>
  <c r="FE12" i="33" s="1"/>
  <c r="C385" i="1"/>
  <c r="E400" i="1"/>
  <c r="CE138" i="1"/>
  <c r="C399" i="1"/>
  <c r="E413" i="1"/>
  <c r="DD153" i="1"/>
  <c r="BN153" i="1"/>
  <c r="CI153" i="1"/>
  <c r="BP168" i="1"/>
  <c r="E427" i="1"/>
  <c r="CR168" i="1"/>
  <c r="CO168" i="1"/>
  <c r="C442" i="1"/>
  <c r="E457" i="1"/>
  <c r="C459" i="1"/>
  <c r="E473" i="1"/>
  <c r="E489" i="1"/>
  <c r="C489" i="1"/>
  <c r="C502" i="1"/>
  <c r="CU243" i="1"/>
  <c r="E401" i="1"/>
  <c r="C484" i="1"/>
  <c r="BS123" i="1"/>
  <c r="CQ123" i="1"/>
  <c r="C378" i="1"/>
  <c r="DA123" i="1"/>
  <c r="CX123" i="1"/>
  <c r="BK123" i="1"/>
  <c r="B1" i="33"/>
  <c r="C490" i="1"/>
  <c r="C503" i="1"/>
  <c r="E414" i="1"/>
  <c r="C364" i="1"/>
  <c r="BG153" i="1"/>
  <c r="BT93" i="1"/>
  <c r="FR10" i="33"/>
  <c r="BG18" i="1"/>
  <c r="BH108" i="1"/>
  <c r="BT3" i="1"/>
  <c r="C260" i="1"/>
  <c r="BG183" i="1"/>
  <c r="BG243" i="1"/>
  <c r="E288" i="1"/>
  <c r="BJ33" i="1"/>
  <c r="BP33" i="1"/>
  <c r="CT108" i="1"/>
  <c r="CK108" i="1"/>
  <c r="BJ108" i="1"/>
  <c r="CH108" i="1"/>
  <c r="DC108" i="1"/>
  <c r="FQ11" i="33"/>
  <c r="E321" i="1"/>
  <c r="J458" i="1"/>
  <c r="BN93" i="1"/>
  <c r="E363" i="1"/>
  <c r="CE108" i="1"/>
  <c r="EE2" i="33"/>
  <c r="AI41" i="33" s="1"/>
  <c r="C349" i="1"/>
  <c r="BZ108" i="1"/>
  <c r="C363" i="1"/>
  <c r="BV123" i="1"/>
  <c r="E378" i="1"/>
  <c r="C400" i="1"/>
  <c r="CE153" i="1"/>
  <c r="C427" i="1"/>
  <c r="E442" i="1"/>
  <c r="DA183" i="1"/>
  <c r="C460" i="1"/>
  <c r="AN2" i="33"/>
  <c r="AN11" i="33" s="1"/>
  <c r="D2" i="24"/>
  <c r="E259" i="1"/>
  <c r="B1" i="24"/>
  <c r="J490" i="1"/>
  <c r="T471" i="1"/>
  <c r="L471" i="1"/>
  <c r="J474" i="1"/>
  <c r="L474" i="1"/>
  <c r="T474" i="1"/>
  <c r="N474" i="1"/>
  <c r="R472" i="1"/>
  <c r="T472" i="1"/>
  <c r="V472" i="1"/>
  <c r="DP470" i="1"/>
  <c r="L470" i="1"/>
  <c r="DP473" i="1"/>
  <c r="DQ468" i="1"/>
  <c r="L468" i="1"/>
  <c r="R468" i="1"/>
  <c r="V468" i="1"/>
  <c r="DQ476" i="1"/>
  <c r="V476" i="1"/>
  <c r="L475" i="1"/>
  <c r="R475" i="1"/>
  <c r="T475" i="1"/>
  <c r="V475" i="1"/>
  <c r="N475" i="1"/>
  <c r="J475" i="1"/>
  <c r="DQ473" i="1"/>
  <c r="N473" i="1"/>
  <c r="DP468" i="1"/>
  <c r="V469" i="1"/>
  <c r="J461" i="1"/>
  <c r="T461" i="1"/>
  <c r="V461" i="1"/>
  <c r="R461" i="1"/>
  <c r="N461" i="1"/>
  <c r="T454" i="1"/>
  <c r="DP453" i="1"/>
  <c r="DP459" i="1"/>
  <c r="J453" i="1"/>
  <c r="T455" i="1"/>
  <c r="DP455" i="1"/>
  <c r="F463" i="1"/>
  <c r="DQ453" i="1"/>
  <c r="T453" i="1"/>
  <c r="DP458" i="1"/>
  <c r="DP445" i="1"/>
  <c r="R441" i="1"/>
  <c r="V441" i="1"/>
  <c r="T441" i="1"/>
  <c r="J441" i="1"/>
  <c r="N441" i="1"/>
  <c r="J440" i="1"/>
  <c r="N440" i="1"/>
  <c r="DQ440" i="1"/>
  <c r="N438" i="1"/>
  <c r="L438" i="1"/>
  <c r="R438" i="1"/>
  <c r="T438" i="1"/>
  <c r="V444" i="1"/>
  <c r="R444" i="1"/>
  <c r="J444" i="1"/>
  <c r="F448" i="1"/>
  <c r="DQ439" i="1"/>
  <c r="DP446" i="1"/>
  <c r="V443" i="1"/>
  <c r="R439" i="1"/>
  <c r="DP439" i="1"/>
  <c r="L439" i="1"/>
  <c r="V439" i="1"/>
  <c r="DQ442" i="1"/>
  <c r="L444" i="1"/>
  <c r="T444" i="1"/>
  <c r="L425" i="1"/>
  <c r="N430" i="1"/>
  <c r="DQ426" i="1"/>
  <c r="N426" i="1"/>
  <c r="R426" i="1"/>
  <c r="J426" i="1"/>
  <c r="T426" i="1"/>
  <c r="V426" i="1"/>
  <c r="L426" i="1"/>
  <c r="DP428" i="1"/>
  <c r="L431" i="1"/>
  <c r="N431" i="1"/>
  <c r="N429" i="1"/>
  <c r="DQ423" i="1"/>
  <c r="F433" i="1"/>
  <c r="R429" i="1"/>
  <c r="T428" i="1"/>
  <c r="L427" i="1"/>
  <c r="N427" i="1"/>
  <c r="T427" i="1"/>
  <c r="J427" i="1"/>
  <c r="R427" i="1"/>
  <c r="T423" i="1"/>
  <c r="J423" i="1"/>
  <c r="L423" i="1"/>
  <c r="N423" i="1"/>
  <c r="DP423" i="1"/>
  <c r="BK423" i="1"/>
  <c r="HW15" i="33"/>
  <c r="A55" i="33"/>
  <c r="AS41" i="33"/>
  <c r="BK363" i="1"/>
  <c r="EF11" i="33"/>
  <c r="AO12" i="33"/>
  <c r="L490" i="1"/>
  <c r="V490" i="1"/>
  <c r="T490" i="1"/>
  <c r="R490" i="1"/>
  <c r="R471" i="1"/>
  <c r="N471" i="1"/>
  <c r="J471" i="1"/>
  <c r="V471" i="1"/>
  <c r="N468" i="1"/>
  <c r="T468" i="1"/>
  <c r="J468" i="1"/>
  <c r="J460" i="1"/>
  <c r="T460" i="1"/>
  <c r="N460" i="1"/>
  <c r="V460" i="1"/>
  <c r="R460" i="1"/>
  <c r="N453" i="1"/>
  <c r="R453" i="1"/>
  <c r="V453" i="1"/>
  <c r="V456" i="1"/>
  <c r="V455" i="1"/>
  <c r="J455" i="1"/>
  <c r="N455" i="1"/>
  <c r="R455" i="1"/>
  <c r="N456" i="1"/>
  <c r="R456" i="1"/>
  <c r="R430" i="1"/>
  <c r="L430" i="1"/>
  <c r="T430" i="1"/>
  <c r="V430" i="1"/>
  <c r="J430" i="1"/>
  <c r="V428" i="1"/>
  <c r="R428" i="1"/>
  <c r="J428" i="1"/>
  <c r="N428" i="1"/>
  <c r="L428" i="1"/>
  <c r="J429" i="1"/>
  <c r="T429" i="1"/>
  <c r="V429" i="1"/>
  <c r="L429" i="1"/>
  <c r="J129" i="1"/>
  <c r="DQ126" i="1"/>
  <c r="V131" i="1"/>
  <c r="R131" i="1"/>
  <c r="T131" i="1"/>
  <c r="L131" i="1"/>
  <c r="DP127" i="1"/>
  <c r="DP124" i="1"/>
  <c r="J126" i="1"/>
  <c r="N126" i="1"/>
  <c r="J115" i="1"/>
  <c r="V114" i="1"/>
  <c r="N110" i="1"/>
  <c r="L108" i="1"/>
  <c r="DQ108" i="1"/>
  <c r="T109" i="1"/>
  <c r="R112" i="1"/>
  <c r="R108" i="1"/>
  <c r="T108" i="1"/>
  <c r="J108" i="1"/>
  <c r="V108" i="1"/>
  <c r="DP109" i="1"/>
  <c r="N112" i="1"/>
  <c r="J112" i="1"/>
  <c r="L112" i="1"/>
  <c r="V112" i="1"/>
  <c r="T112" i="1"/>
  <c r="J131" i="1"/>
  <c r="T408" i="1"/>
  <c r="T411" i="1"/>
  <c r="T413" i="1"/>
  <c r="T416" i="1"/>
  <c r="T351" i="1"/>
  <c r="T354" i="1"/>
  <c r="T333" i="1"/>
  <c r="T339" i="1"/>
  <c r="T340" i="1"/>
  <c r="T341" i="1"/>
  <c r="T318" i="1"/>
  <c r="T320" i="1"/>
  <c r="T325" i="1"/>
  <c r="T304" i="1"/>
  <c r="T306" i="1"/>
  <c r="T307" i="1"/>
  <c r="T309" i="1"/>
  <c r="T310" i="1"/>
  <c r="T288" i="1"/>
  <c r="J289" i="1"/>
  <c r="T291" i="1"/>
  <c r="T292" i="1"/>
  <c r="T293" i="1"/>
  <c r="T295" i="1"/>
  <c r="T274" i="1"/>
  <c r="T277" i="1"/>
  <c r="T278" i="1"/>
  <c r="T280" i="1"/>
  <c r="T281" i="1"/>
  <c r="J258" i="1"/>
  <c r="T259" i="1"/>
  <c r="T261" i="1"/>
  <c r="T262" i="1"/>
  <c r="T266" i="1"/>
  <c r="T247" i="1"/>
  <c r="T248" i="1"/>
  <c r="T249" i="1"/>
  <c r="T251" i="1"/>
  <c r="T229" i="1"/>
  <c r="T231" i="1"/>
  <c r="T233" i="1"/>
  <c r="T234" i="1"/>
  <c r="T236" i="1"/>
  <c r="T217" i="1"/>
  <c r="T183" i="1"/>
  <c r="T185" i="1"/>
  <c r="T186" i="1"/>
  <c r="T189" i="1"/>
  <c r="T190" i="1"/>
  <c r="T168" i="1"/>
  <c r="T169" i="1"/>
  <c r="T170" i="1"/>
  <c r="T171" i="1"/>
  <c r="T173" i="1"/>
  <c r="T175" i="1"/>
  <c r="T153" i="1"/>
  <c r="T158" i="1"/>
  <c r="T159" i="1"/>
  <c r="T143" i="1"/>
  <c r="T145" i="1"/>
  <c r="T48" i="1"/>
  <c r="T41" i="1"/>
  <c r="T9" i="1"/>
  <c r="J350" i="1"/>
  <c r="J351" i="1"/>
  <c r="J353" i="1"/>
  <c r="J354" i="1"/>
  <c r="J333" i="1"/>
  <c r="J335" i="1"/>
  <c r="J339" i="1"/>
  <c r="J340" i="1"/>
  <c r="J341" i="1"/>
  <c r="J320" i="1"/>
  <c r="J322" i="1"/>
  <c r="J325" i="1"/>
  <c r="J303" i="1"/>
  <c r="J304" i="1"/>
  <c r="J306" i="1"/>
  <c r="J307" i="1"/>
  <c r="J310" i="1"/>
  <c r="J311" i="1"/>
  <c r="J291" i="1"/>
  <c r="J292" i="1"/>
  <c r="J293" i="1"/>
  <c r="J295" i="1"/>
  <c r="J296" i="1"/>
  <c r="J273" i="1"/>
  <c r="J278" i="1"/>
  <c r="J279" i="1"/>
  <c r="J281" i="1"/>
  <c r="J264" i="1"/>
  <c r="J249" i="1"/>
  <c r="J228" i="1"/>
  <c r="J229" i="1"/>
  <c r="J231" i="1"/>
  <c r="J233" i="1"/>
  <c r="J217" i="1"/>
  <c r="J183" i="1"/>
  <c r="J185" i="1"/>
  <c r="J186" i="1"/>
  <c r="J188" i="1"/>
  <c r="J189" i="1"/>
  <c r="J168" i="1"/>
  <c r="J171" i="1"/>
  <c r="J153" i="1"/>
  <c r="J159" i="1"/>
  <c r="J138" i="1"/>
  <c r="J140" i="1"/>
  <c r="J141" i="1"/>
  <c r="J143" i="1"/>
  <c r="J145" i="1"/>
  <c r="J96" i="1"/>
  <c r="J48" i="1"/>
  <c r="J25" i="1"/>
  <c r="J9" i="1"/>
  <c r="L408" i="1"/>
  <c r="L409" i="1"/>
  <c r="L411" i="1"/>
  <c r="L416" i="1"/>
  <c r="L351" i="1"/>
  <c r="L353" i="1"/>
  <c r="L335" i="1"/>
  <c r="L339" i="1"/>
  <c r="L340" i="1"/>
  <c r="L341" i="1"/>
  <c r="L320" i="1"/>
  <c r="L322" i="1"/>
  <c r="L325" i="1"/>
  <c r="L303" i="1"/>
  <c r="L304" i="1"/>
  <c r="L307" i="1"/>
  <c r="L309" i="1"/>
  <c r="L310" i="1"/>
  <c r="L311" i="1"/>
  <c r="L291" i="1"/>
  <c r="L292" i="1"/>
  <c r="L294" i="1"/>
  <c r="L295" i="1"/>
  <c r="L296" i="1"/>
  <c r="L273" i="1"/>
  <c r="L274" i="1"/>
  <c r="L278" i="1"/>
  <c r="L281" i="1"/>
  <c r="L259" i="1"/>
  <c r="L261" i="1"/>
  <c r="L264" i="1"/>
  <c r="L245" i="1"/>
  <c r="L247" i="1"/>
  <c r="L249" i="1"/>
  <c r="L228" i="1"/>
  <c r="L229" i="1"/>
  <c r="L231" i="1"/>
  <c r="L233" i="1"/>
  <c r="L183" i="1"/>
  <c r="L185" i="1"/>
  <c r="L186" i="1"/>
  <c r="L189" i="1"/>
  <c r="L168" i="1"/>
  <c r="L171" i="1"/>
  <c r="L172" i="1"/>
  <c r="L173" i="1"/>
  <c r="L153" i="1"/>
  <c r="L156" i="1"/>
  <c r="L159" i="1"/>
  <c r="L141" i="1"/>
  <c r="L143" i="1"/>
  <c r="L145" i="1"/>
  <c r="L48" i="1"/>
  <c r="N408" i="1"/>
  <c r="N411" i="1"/>
  <c r="N413" i="1"/>
  <c r="N416" i="1"/>
  <c r="N350" i="1"/>
  <c r="N351" i="1"/>
  <c r="N353" i="1"/>
  <c r="N354" i="1"/>
  <c r="N339" i="1"/>
  <c r="N341" i="1"/>
  <c r="N318" i="1"/>
  <c r="N320" i="1"/>
  <c r="N325" i="1"/>
  <c r="N303" i="1"/>
  <c r="N304" i="1"/>
  <c r="N307" i="1"/>
  <c r="N309" i="1"/>
  <c r="N310" i="1"/>
  <c r="N311" i="1"/>
  <c r="N291" i="1"/>
  <c r="N292" i="1"/>
  <c r="N294" i="1"/>
  <c r="N295" i="1"/>
  <c r="N296" i="1"/>
  <c r="N273" i="1"/>
  <c r="N274" i="1"/>
  <c r="N278" i="1"/>
  <c r="N281" i="1"/>
  <c r="N259" i="1"/>
  <c r="N261" i="1"/>
  <c r="N262" i="1"/>
  <c r="N245" i="1"/>
  <c r="N248" i="1"/>
  <c r="N249" i="1"/>
  <c r="N228" i="1"/>
  <c r="N231" i="1"/>
  <c r="N233" i="1"/>
  <c r="N235" i="1"/>
  <c r="N183" i="1"/>
  <c r="N185" i="1"/>
  <c r="N186" i="1"/>
  <c r="N189" i="1"/>
  <c r="N169" i="1"/>
  <c r="N171" i="1"/>
  <c r="N173" i="1"/>
  <c r="N174" i="1"/>
  <c r="N153" i="1"/>
  <c r="N156" i="1"/>
  <c r="N158" i="1"/>
  <c r="N159" i="1"/>
  <c r="N48" i="1"/>
  <c r="N41" i="1"/>
  <c r="N25" i="1"/>
  <c r="R409" i="1"/>
  <c r="R411" i="1"/>
  <c r="R413" i="1"/>
  <c r="R416" i="1"/>
  <c r="R333" i="1"/>
  <c r="R339" i="1"/>
  <c r="R340" i="1"/>
  <c r="R341" i="1"/>
  <c r="R320" i="1"/>
  <c r="R322" i="1"/>
  <c r="R323" i="1"/>
  <c r="R325" i="1"/>
  <c r="R303" i="1"/>
  <c r="R304" i="1"/>
  <c r="R307" i="1"/>
  <c r="R309" i="1"/>
  <c r="R310" i="1"/>
  <c r="R288" i="1"/>
  <c r="R289" i="1"/>
  <c r="R291" i="1"/>
  <c r="R292" i="1"/>
  <c r="R294" i="1"/>
  <c r="R295" i="1"/>
  <c r="R296" i="1"/>
  <c r="R273" i="1"/>
  <c r="R278" i="1"/>
  <c r="R280" i="1"/>
  <c r="R281" i="1"/>
  <c r="R261" i="1"/>
  <c r="R262" i="1"/>
  <c r="R264" i="1"/>
  <c r="R245" i="1"/>
  <c r="R247" i="1"/>
  <c r="R251" i="1"/>
  <c r="R228" i="1"/>
  <c r="R231" i="1"/>
  <c r="R233" i="1"/>
  <c r="R183" i="1"/>
  <c r="R185" i="1"/>
  <c r="R186" i="1"/>
  <c r="R188" i="1"/>
  <c r="R189" i="1"/>
  <c r="R168" i="1"/>
  <c r="R170" i="1"/>
  <c r="R171" i="1"/>
  <c r="R173" i="1"/>
  <c r="R175" i="1"/>
  <c r="R153" i="1"/>
  <c r="R156" i="1"/>
  <c r="R159" i="1"/>
  <c r="R141" i="1"/>
  <c r="R143" i="1"/>
  <c r="R145" i="1"/>
  <c r="R96" i="1"/>
  <c r="R41" i="1"/>
  <c r="V408" i="1"/>
  <c r="V409" i="1"/>
  <c r="V411" i="1"/>
  <c r="V413" i="1"/>
  <c r="V416" i="1"/>
  <c r="V351" i="1"/>
  <c r="V354" i="1"/>
  <c r="V339" i="1"/>
  <c r="V341" i="1"/>
  <c r="V318" i="1"/>
  <c r="V320" i="1"/>
  <c r="V325" i="1"/>
  <c r="V303" i="1"/>
  <c r="V304" i="1"/>
  <c r="V307" i="1"/>
  <c r="V310" i="1"/>
  <c r="V311" i="1"/>
  <c r="V289" i="1"/>
  <c r="V291" i="1"/>
  <c r="V292" i="1"/>
  <c r="V293" i="1"/>
  <c r="V294" i="1"/>
  <c r="V295" i="1"/>
  <c r="V296" i="1"/>
  <c r="V273" i="1"/>
  <c r="V277" i="1"/>
  <c r="V278" i="1"/>
  <c r="V279" i="1"/>
  <c r="V281" i="1"/>
  <c r="V259" i="1"/>
  <c r="V264" i="1"/>
  <c r="V245" i="1"/>
  <c r="V249" i="1"/>
  <c r="V251" i="1"/>
  <c r="V228" i="1"/>
  <c r="V229" i="1"/>
  <c r="V230" i="1"/>
  <c r="V231" i="1"/>
  <c r="V233" i="1"/>
  <c r="V217" i="1"/>
  <c r="V183" i="1"/>
  <c r="V185" i="1"/>
  <c r="V186" i="1"/>
  <c r="V189" i="1"/>
  <c r="V190" i="1"/>
  <c r="V168" i="1"/>
  <c r="V169" i="1"/>
  <c r="V171" i="1"/>
  <c r="V174" i="1"/>
  <c r="V153" i="1"/>
  <c r="V156" i="1"/>
  <c r="V158" i="1"/>
  <c r="V138" i="1"/>
  <c r="V141" i="1"/>
  <c r="V142" i="1"/>
  <c r="V143" i="1"/>
  <c r="V145" i="1"/>
  <c r="V70" i="1"/>
  <c r="V9" i="1"/>
  <c r="DP158" i="1"/>
  <c r="DP156" i="1"/>
  <c r="DQ153" i="1"/>
  <c r="DQ158" i="1"/>
  <c r="DP155" i="1"/>
  <c r="DP153" i="1"/>
  <c r="DQ156" i="1"/>
  <c r="DP140" i="1"/>
  <c r="DP138" i="1"/>
  <c r="DP145" i="1"/>
  <c r="DP188" i="1"/>
  <c r="DP183" i="1"/>
  <c r="DP191" i="1"/>
  <c r="DQ185" i="1"/>
  <c r="DQ259" i="1"/>
  <c r="F268" i="1"/>
  <c r="DQ261" i="1"/>
  <c r="DQ264" i="1"/>
  <c r="DP259" i="1"/>
  <c r="DP262" i="1"/>
  <c r="DP264" i="1"/>
  <c r="DP261" i="1"/>
  <c r="DP250" i="1"/>
  <c r="DP247" i="1"/>
  <c r="DP244" i="1"/>
  <c r="DP232" i="1"/>
  <c r="F238" i="1"/>
  <c r="DQ232" i="1"/>
  <c r="DP205" i="1"/>
  <c r="DP336" i="1"/>
  <c r="F343" i="1"/>
  <c r="F328" i="1"/>
  <c r="DQ322" i="1"/>
  <c r="DP323" i="1"/>
  <c r="DQ323" i="1"/>
  <c r="DP319" i="1"/>
  <c r="DP310" i="1"/>
  <c r="DP304" i="1"/>
  <c r="F313" i="1"/>
  <c r="DQ304" i="1"/>
  <c r="DP307" i="1"/>
  <c r="DQ295" i="1"/>
  <c r="F298" i="1"/>
  <c r="DQ292" i="1"/>
  <c r="DP296" i="1"/>
  <c r="DP292" i="1"/>
  <c r="DQ275" i="1"/>
  <c r="F283" i="1"/>
  <c r="DQ274" i="1"/>
  <c r="DQ353" i="1"/>
  <c r="F358" i="1"/>
  <c r="DP353" i="1"/>
  <c r="DQ411" i="1"/>
  <c r="DP416" i="1"/>
  <c r="DP413" i="1"/>
  <c r="DQ413" i="1"/>
  <c r="F418" i="1"/>
  <c r="AO36" i="33" l="1"/>
  <c r="AO19" i="33"/>
  <c r="AN8" i="33"/>
  <c r="AT8" i="33" s="1"/>
  <c r="AU8" i="33" s="1"/>
  <c r="CI93" i="1"/>
  <c r="CI363" i="1"/>
  <c r="A50" i="33"/>
  <c r="EE20" i="33"/>
  <c r="EK20" i="33" s="1"/>
  <c r="EL20" i="33" s="1"/>
  <c r="EQ20" i="33" s="1"/>
  <c r="CC78" i="1"/>
  <c r="BK78" i="1"/>
  <c r="EF4" i="33"/>
  <c r="C348" i="1"/>
  <c r="DA93" i="1"/>
  <c r="C369" i="1"/>
  <c r="CR108" i="1"/>
  <c r="E501" i="1"/>
  <c r="CL93" i="1"/>
  <c r="CF93" i="1"/>
  <c r="BH273" i="1"/>
  <c r="KA9" i="33"/>
  <c r="KG9" i="33" s="1"/>
  <c r="KH9" i="33" s="1"/>
  <c r="KL9" i="33" s="1"/>
  <c r="FW11" i="33"/>
  <c r="FX11" i="33" s="1"/>
  <c r="KT2" i="33"/>
  <c r="R2" i="24"/>
  <c r="EF14" i="33"/>
  <c r="P2" i="24"/>
  <c r="GJ11" i="33"/>
  <c r="GL11" i="33" s="1"/>
  <c r="C441" i="1"/>
  <c r="BQ78" i="1"/>
  <c r="BK288" i="1"/>
  <c r="BQ288" i="1"/>
  <c r="GK28" i="33"/>
  <c r="KS9" i="33"/>
  <c r="KP86" i="33" s="1"/>
  <c r="BH378" i="1"/>
  <c r="BZ78" i="1"/>
  <c r="E333" i="1"/>
  <c r="DL2" i="33"/>
  <c r="KB6" i="33"/>
  <c r="BY213" i="1"/>
  <c r="EY9" i="33"/>
  <c r="CW78" i="1"/>
  <c r="DC78" i="1"/>
  <c r="EY7" i="33"/>
  <c r="GJ9" i="33"/>
  <c r="CQ213" i="1"/>
  <c r="CR48" i="1"/>
  <c r="CE78" i="1"/>
  <c r="BS78" i="1"/>
  <c r="BE78" i="1"/>
  <c r="CK78" i="1"/>
  <c r="CH78" i="1"/>
  <c r="CT93" i="1"/>
  <c r="BQ48" i="1"/>
  <c r="H2" i="24"/>
  <c r="CC48" i="1"/>
  <c r="EF9" i="33"/>
  <c r="HW7" i="33"/>
  <c r="CR78" i="1"/>
  <c r="KB12" i="33"/>
  <c r="C333" i="1"/>
  <c r="BM78" i="1"/>
  <c r="EX10" i="33"/>
  <c r="FD10" i="33" s="1"/>
  <c r="FE10" i="33" s="1"/>
  <c r="FK10" i="33" s="1"/>
  <c r="HW13" i="33"/>
  <c r="HV10" i="33"/>
  <c r="HX10" i="33" s="1"/>
  <c r="JH2" i="33"/>
  <c r="A58" i="33"/>
  <c r="HW9" i="33"/>
  <c r="FP12" i="33"/>
  <c r="FM89" i="33" s="1"/>
  <c r="FK12" i="33"/>
  <c r="CA7" i="33"/>
  <c r="CA23" i="33"/>
  <c r="BZ15" i="33"/>
  <c r="BZ12" i="33"/>
  <c r="AC41" i="33"/>
  <c r="EZ12" i="33"/>
  <c r="BZ6" i="33"/>
  <c r="CF6" i="33" s="1"/>
  <c r="CG6" i="33" s="1"/>
  <c r="CA11" i="33"/>
  <c r="BZ10" i="33"/>
  <c r="CF10" i="33" s="1"/>
  <c r="CG10" i="33" s="1"/>
  <c r="CO78" i="1"/>
  <c r="EW20" i="33"/>
  <c r="ET97" i="33" s="1"/>
  <c r="EV20" i="33"/>
  <c r="ER97" i="33" s="1"/>
  <c r="EG20" i="33"/>
  <c r="AT11" i="33"/>
  <c r="AU11" i="33" s="1"/>
  <c r="AO20" i="33"/>
  <c r="AN4" i="33"/>
  <c r="AP4" i="33" s="1"/>
  <c r="AN5" i="33"/>
  <c r="AO10" i="33"/>
  <c r="AN12" i="33"/>
  <c r="AT12" i="33" s="1"/>
  <c r="AU12" i="33" s="1"/>
  <c r="AO13" i="33"/>
  <c r="AO17" i="33"/>
  <c r="AN9" i="33"/>
  <c r="AT9" i="33" s="1"/>
  <c r="AU9" i="33" s="1"/>
  <c r="AO16" i="33"/>
  <c r="AO9" i="33"/>
  <c r="AO28" i="33"/>
  <c r="AN13" i="33"/>
  <c r="AP13" i="33" s="1"/>
  <c r="A45" i="33"/>
  <c r="AO5" i="33"/>
  <c r="AO4" i="33"/>
  <c r="AO18" i="33"/>
  <c r="AN16" i="33"/>
  <c r="AT16" i="33" s="1"/>
  <c r="AU16" i="33" s="1"/>
  <c r="GP11" i="33"/>
  <c r="GQ11" i="33" s="1"/>
  <c r="DC228" i="1"/>
  <c r="AO15" i="33"/>
  <c r="AN14" i="33"/>
  <c r="AT14" i="33" s="1"/>
  <c r="AU14" i="33" s="1"/>
  <c r="AN17" i="33"/>
  <c r="Y41" i="33"/>
  <c r="BZ19" i="33"/>
  <c r="EX19" i="33"/>
  <c r="AO32" i="33"/>
  <c r="AO7" i="33"/>
  <c r="AN20" i="33"/>
  <c r="AT20" i="33" s="1"/>
  <c r="AU20" i="33" s="1"/>
  <c r="AN6" i="33"/>
  <c r="AT6" i="33" s="1"/>
  <c r="AU6" i="33" s="1"/>
  <c r="AO23" i="33"/>
  <c r="AN19" i="33"/>
  <c r="AP19" i="33" s="1"/>
  <c r="AN15" i="33"/>
  <c r="AO6" i="33"/>
  <c r="AO14" i="33"/>
  <c r="BG48" i="1"/>
  <c r="DC213" i="1"/>
  <c r="GJ18" i="33"/>
  <c r="GP18" i="33" s="1"/>
  <c r="GQ18" i="33" s="1"/>
  <c r="BD213" i="1"/>
  <c r="BN63" i="1"/>
  <c r="DC48" i="1"/>
  <c r="GK8" i="33"/>
  <c r="AN7" i="33"/>
  <c r="AT7" i="33" s="1"/>
  <c r="AU7" i="33" s="1"/>
  <c r="CT213" i="1"/>
  <c r="BZ18" i="33"/>
  <c r="KT18" i="33"/>
  <c r="KZ18" i="33" s="1"/>
  <c r="LA18" i="33" s="1"/>
  <c r="CN213" i="1"/>
  <c r="DA63" i="1"/>
  <c r="AO8" i="33"/>
  <c r="AP8" i="33" s="1"/>
  <c r="JH18" i="33"/>
  <c r="JN18" i="33" s="1"/>
  <c r="JO18" i="33" s="1"/>
  <c r="EE18" i="33"/>
  <c r="BG213" i="1"/>
  <c r="KA18" i="33"/>
  <c r="KG18" i="33" s="1"/>
  <c r="KH18" i="33" s="1"/>
  <c r="KB8" i="33"/>
  <c r="AN18" i="33"/>
  <c r="AT18" i="33" s="1"/>
  <c r="AU18" i="33" s="1"/>
  <c r="DL18" i="33"/>
  <c r="EX18" i="33"/>
  <c r="FD18" i="33" s="1"/>
  <c r="FE18" i="33" s="1"/>
  <c r="CB213" i="1"/>
  <c r="CZ213" i="1"/>
  <c r="CF63" i="1"/>
  <c r="CH48" i="1"/>
  <c r="GJ7" i="33"/>
  <c r="CX63" i="1"/>
  <c r="KU8" i="33"/>
  <c r="BV213" i="1"/>
  <c r="CW213" i="1"/>
  <c r="CL63" i="1"/>
  <c r="BM48" i="1"/>
  <c r="KA7" i="33"/>
  <c r="CE213" i="1"/>
  <c r="CH213" i="1"/>
  <c r="CI63" i="1"/>
  <c r="HV18" i="33"/>
  <c r="BH63" i="1"/>
  <c r="CW48" i="1"/>
  <c r="BJ213" i="1"/>
  <c r="CE48" i="1"/>
  <c r="AN10" i="33"/>
  <c r="AT10" i="33" s="1"/>
  <c r="AU10" i="33" s="1"/>
  <c r="JI11" i="33"/>
  <c r="DA108" i="1"/>
  <c r="KA10" i="33"/>
  <c r="KG10" i="33" s="1"/>
  <c r="KH10" i="33" s="1"/>
  <c r="BK108" i="1"/>
  <c r="BL108" i="1" s="1"/>
  <c r="HW11" i="33"/>
  <c r="CX108" i="1"/>
  <c r="DD108" i="1"/>
  <c r="DE108" i="1" s="1"/>
  <c r="KB11" i="33"/>
  <c r="C368" i="1"/>
  <c r="CL108" i="1"/>
  <c r="CM108" i="1" s="1"/>
  <c r="CF108" i="1"/>
  <c r="CG108" i="1" s="1"/>
  <c r="CI108" i="1"/>
  <c r="CJ108" i="1" s="1"/>
  <c r="EE10" i="33"/>
  <c r="BE108" i="1"/>
  <c r="KU11" i="33"/>
  <c r="GJ10" i="33"/>
  <c r="GP10" i="33" s="1"/>
  <c r="GQ10" i="33" s="1"/>
  <c r="AO11" i="33"/>
  <c r="AP11" i="33" s="1"/>
  <c r="BN108" i="1"/>
  <c r="FJ12" i="33"/>
  <c r="EF13" i="33"/>
  <c r="CA9" i="33"/>
  <c r="BE138" i="1"/>
  <c r="FI12" i="33"/>
  <c r="FO12" i="33"/>
  <c r="FK89" i="33" s="1"/>
  <c r="BZ138" i="1"/>
  <c r="E415" i="1"/>
  <c r="B2" i="33"/>
  <c r="C4" i="33" s="1"/>
  <c r="B2" i="24"/>
  <c r="E260" i="1"/>
  <c r="CN3" i="1"/>
  <c r="CK3" i="1"/>
  <c r="HV4" i="33"/>
  <c r="EE4" i="33"/>
  <c r="EK4" i="33" s="1"/>
  <c r="EL4" i="33" s="1"/>
  <c r="JH4" i="33"/>
  <c r="G2" i="24"/>
  <c r="CS2" i="33"/>
  <c r="IO2" i="33"/>
  <c r="O2" i="24"/>
  <c r="EY4" i="33"/>
  <c r="C262" i="1"/>
  <c r="GK4" i="33"/>
  <c r="DA3" i="1"/>
  <c r="DD3" i="1"/>
  <c r="CF3" i="1"/>
  <c r="BQ3" i="1"/>
  <c r="CO3" i="1"/>
  <c r="CI3" i="1"/>
  <c r="CC3" i="1"/>
  <c r="CA4" i="33"/>
  <c r="KU4" i="33"/>
  <c r="BE3" i="1"/>
  <c r="CX3" i="1"/>
  <c r="DM4" i="33"/>
  <c r="KB4" i="33"/>
  <c r="HW4" i="33"/>
  <c r="CL48" i="1"/>
  <c r="BN48" i="1"/>
  <c r="BW48" i="1"/>
  <c r="C309" i="1"/>
  <c r="CX48" i="1"/>
  <c r="BZ48" i="1"/>
  <c r="DA48" i="1"/>
  <c r="BH48" i="1"/>
  <c r="BI48" i="1" s="1"/>
  <c r="CI48" i="1"/>
  <c r="BT48" i="1"/>
  <c r="CF48" i="1"/>
  <c r="DD48" i="1"/>
  <c r="DE48" i="1" s="1"/>
  <c r="GK7" i="33"/>
  <c r="DM7" i="33"/>
  <c r="KB7" i="33"/>
  <c r="KU7" i="33"/>
  <c r="E394" i="1"/>
  <c r="EX13" i="33"/>
  <c r="CW138" i="1"/>
  <c r="BP138" i="1"/>
  <c r="CH138" i="1"/>
  <c r="BV138" i="1"/>
  <c r="GJ13" i="33"/>
  <c r="KA13" i="33"/>
  <c r="BS138" i="1"/>
  <c r="BU138" i="1" s="1"/>
  <c r="BM138" i="1"/>
  <c r="CZ138" i="1"/>
  <c r="CN138" i="1"/>
  <c r="BJ138" i="1"/>
  <c r="CB138" i="1"/>
  <c r="DC138" i="1"/>
  <c r="CT138" i="1"/>
  <c r="KT13" i="33"/>
  <c r="BG138" i="1"/>
  <c r="CQ138" i="1"/>
  <c r="BZ13" i="33"/>
  <c r="BY138" i="1"/>
  <c r="HV13" i="33"/>
  <c r="DL13" i="33"/>
  <c r="DR13" i="33" s="1"/>
  <c r="DS13" i="33" s="1"/>
  <c r="EE13" i="33"/>
  <c r="JH13" i="33"/>
  <c r="CQ228" i="1"/>
  <c r="E488" i="1"/>
  <c r="BM228" i="1"/>
  <c r="BY228" i="1"/>
  <c r="CW228" i="1"/>
  <c r="BS228" i="1"/>
  <c r="BG228" i="1"/>
  <c r="CE228" i="1"/>
  <c r="CN228" i="1"/>
  <c r="KA19" i="33"/>
  <c r="CT228" i="1"/>
  <c r="CK228" i="1"/>
  <c r="KT19" i="33"/>
  <c r="CZ228" i="1"/>
  <c r="HV19" i="33"/>
  <c r="CW18" i="1"/>
  <c r="GJ5" i="33"/>
  <c r="BM18" i="1"/>
  <c r="CH18" i="1"/>
  <c r="CB18" i="1"/>
  <c r="CK18" i="1"/>
  <c r="CZ18" i="1"/>
  <c r="B5" i="33"/>
  <c r="CQ18" i="1"/>
  <c r="DC18" i="1"/>
  <c r="CT18" i="1"/>
  <c r="EX5" i="33"/>
  <c r="FD5" i="33" s="1"/>
  <c r="FE5" i="33" s="1"/>
  <c r="BY18" i="1"/>
  <c r="BV18" i="1"/>
  <c r="KA5" i="33"/>
  <c r="KG5" i="33" s="1"/>
  <c r="KH5" i="33" s="1"/>
  <c r="BZ5" i="33"/>
  <c r="BP18" i="1"/>
  <c r="E275" i="1"/>
  <c r="CF273" i="1" s="1"/>
  <c r="CN18" i="1"/>
  <c r="BS18" i="1"/>
  <c r="BJ18" i="1"/>
  <c r="BL18" i="1" s="1"/>
  <c r="BD18" i="1"/>
  <c r="KT5" i="33"/>
  <c r="KZ5" i="33" s="1"/>
  <c r="LA5" i="33" s="1"/>
  <c r="HV5" i="33"/>
  <c r="DL5" i="33"/>
  <c r="C275" i="1"/>
  <c r="CL18" i="1"/>
  <c r="CF18" i="1"/>
  <c r="CG18" i="1" s="1"/>
  <c r="BW18" i="1"/>
  <c r="CI18" i="1"/>
  <c r="C5" i="33"/>
  <c r="DD18" i="1"/>
  <c r="CC18" i="1"/>
  <c r="CD18" i="1" s="1"/>
  <c r="CX18" i="1"/>
  <c r="BZ18" i="1"/>
  <c r="BN18" i="1"/>
  <c r="BE18" i="1"/>
  <c r="BQ18" i="1"/>
  <c r="BH18" i="1"/>
  <c r="CO18" i="1"/>
  <c r="BT18" i="1"/>
  <c r="EY5" i="33"/>
  <c r="KB5" i="33"/>
  <c r="GK5" i="33"/>
  <c r="GL5" i="33" s="1"/>
  <c r="CA5" i="33"/>
  <c r="DA18" i="1"/>
  <c r="CR18" i="1"/>
  <c r="DM5" i="33"/>
  <c r="HW5" i="33"/>
  <c r="EF5" i="33"/>
  <c r="E290" i="1"/>
  <c r="CW33" i="1"/>
  <c r="CE33" i="1"/>
  <c r="CN33" i="1"/>
  <c r="B6" i="33"/>
  <c r="D6" i="33" s="1"/>
  <c r="EX6" i="33"/>
  <c r="CT33" i="1"/>
  <c r="BD33" i="1"/>
  <c r="CB33" i="1"/>
  <c r="FQ6" i="33"/>
  <c r="FW6" i="33" s="1"/>
  <c r="FX6" i="33" s="1"/>
  <c r="CH33" i="1"/>
  <c r="CK33" i="1"/>
  <c r="GJ6" i="33"/>
  <c r="GP6" i="33" s="1"/>
  <c r="GQ6" i="33" s="1"/>
  <c r="CQ33" i="1"/>
  <c r="CZ33" i="1"/>
  <c r="BG33" i="1"/>
  <c r="BS33" i="1"/>
  <c r="BY33" i="1"/>
  <c r="BV33" i="1"/>
  <c r="DC33" i="1"/>
  <c r="BM33" i="1"/>
  <c r="KT6" i="33"/>
  <c r="JH6" i="33"/>
  <c r="EE6" i="33"/>
  <c r="KA6" i="33"/>
  <c r="KG6" i="33" s="1"/>
  <c r="KH6" i="33" s="1"/>
  <c r="BH33" i="1"/>
  <c r="C289" i="1"/>
  <c r="BQ33" i="1"/>
  <c r="BR33" i="1" s="1"/>
  <c r="CO33" i="1"/>
  <c r="EY6" i="33"/>
  <c r="KU6" i="33"/>
  <c r="DD33" i="1"/>
  <c r="HW6" i="33"/>
  <c r="DM6" i="33"/>
  <c r="EF6" i="33"/>
  <c r="JI6" i="33"/>
  <c r="B7" i="33"/>
  <c r="H7" i="33" s="1"/>
  <c r="I7" i="33" s="1"/>
  <c r="CT48" i="1"/>
  <c r="BJ48" i="1"/>
  <c r="CN48" i="1"/>
  <c r="CP48" i="1" s="1"/>
  <c r="E311" i="1"/>
  <c r="CZ48" i="1"/>
  <c r="CB48" i="1"/>
  <c r="KT7" i="33"/>
  <c r="KZ7" i="33" s="1"/>
  <c r="LA7" i="33" s="1"/>
  <c r="BV48" i="1"/>
  <c r="BZ7" i="33"/>
  <c r="CB7" i="33" s="1"/>
  <c r="BD48" i="1"/>
  <c r="BP48" i="1"/>
  <c r="BR48" i="1" s="1"/>
  <c r="BY48" i="1"/>
  <c r="CA48" i="1" s="1"/>
  <c r="HV7" i="33"/>
  <c r="EE7" i="33"/>
  <c r="DL7" i="33"/>
  <c r="JH7" i="33"/>
  <c r="JN7" i="33" s="1"/>
  <c r="JO7" i="33" s="1"/>
  <c r="E319" i="1"/>
  <c r="GJ8" i="33"/>
  <c r="CK63" i="1"/>
  <c r="BY63" i="1"/>
  <c r="CB63" i="1"/>
  <c r="CD63" i="1" s="1"/>
  <c r="CZ63" i="1"/>
  <c r="BV63" i="1"/>
  <c r="CH63" i="1"/>
  <c r="CN63" i="1"/>
  <c r="CP63" i="1" s="1"/>
  <c r="BM63" i="1"/>
  <c r="BO63" i="1" s="1"/>
  <c r="BP63" i="1"/>
  <c r="KA8" i="33"/>
  <c r="KT8" i="33"/>
  <c r="CW63" i="1"/>
  <c r="BG63" i="1"/>
  <c r="BI63" i="1" s="1"/>
  <c r="CT63" i="1"/>
  <c r="BS63" i="1"/>
  <c r="BU63" i="1" s="1"/>
  <c r="BZ8" i="33"/>
  <c r="CE63" i="1"/>
  <c r="DL8" i="33"/>
  <c r="HV8" i="33"/>
  <c r="CO63" i="1"/>
  <c r="C8" i="33"/>
  <c r="CR63" i="1"/>
  <c r="BK63" i="1"/>
  <c r="C326" i="1"/>
  <c r="BT63" i="1"/>
  <c r="EY8" i="33"/>
  <c r="BQ63" i="1"/>
  <c r="BZ63" i="1"/>
  <c r="CU63" i="1"/>
  <c r="CV63" i="1" s="1"/>
  <c r="BW63" i="1"/>
  <c r="CC63" i="1"/>
  <c r="CA8" i="33"/>
  <c r="BE63" i="1"/>
  <c r="DM8" i="33"/>
  <c r="HW8" i="33"/>
  <c r="EF8" i="33"/>
  <c r="JI8" i="33"/>
  <c r="E341" i="1"/>
  <c r="BJ78" i="1"/>
  <c r="BL78" i="1" s="1"/>
  <c r="CT78" i="1"/>
  <c r="CN78" i="1"/>
  <c r="CP78" i="1" s="1"/>
  <c r="EX9" i="33"/>
  <c r="BP78" i="1"/>
  <c r="CQ78" i="1"/>
  <c r="B9" i="33"/>
  <c r="H9" i="33" s="1"/>
  <c r="I9" i="33" s="1"/>
  <c r="BY78" i="1"/>
  <c r="KT9" i="33"/>
  <c r="BV78" i="1"/>
  <c r="BD78" i="1"/>
  <c r="CB78" i="1"/>
  <c r="CZ78" i="1"/>
  <c r="BZ9" i="33"/>
  <c r="CF9" i="33" s="1"/>
  <c r="CG9" i="33" s="1"/>
  <c r="HV9" i="33"/>
  <c r="JH9" i="33"/>
  <c r="JN9" i="33" s="1"/>
  <c r="JO9" i="33" s="1"/>
  <c r="CI78" i="1"/>
  <c r="CJ78" i="1" s="1"/>
  <c r="KB9" i="33"/>
  <c r="C341" i="1"/>
  <c r="CL78" i="1"/>
  <c r="DA78" i="1"/>
  <c r="CF78" i="1"/>
  <c r="BN78" i="1"/>
  <c r="DD78" i="1"/>
  <c r="BH78" i="1"/>
  <c r="BI78" i="1" s="1"/>
  <c r="KU9" i="33"/>
  <c r="BT78" i="1"/>
  <c r="CX78" i="1"/>
  <c r="CY78" i="1" s="1"/>
  <c r="JI9" i="33"/>
  <c r="C10" i="33"/>
  <c r="BH93" i="1"/>
  <c r="BW93" i="1"/>
  <c r="CX93" i="1"/>
  <c r="CC93" i="1"/>
  <c r="EY10" i="33"/>
  <c r="CA10" i="33"/>
  <c r="BQ93" i="1"/>
  <c r="DD93" i="1"/>
  <c r="KB10" i="33"/>
  <c r="CU93" i="1"/>
  <c r="C354" i="1"/>
  <c r="BK93" i="1"/>
  <c r="CO93" i="1"/>
  <c r="BE93" i="1"/>
  <c r="CR93" i="1"/>
  <c r="JI10" i="33"/>
  <c r="BZ93" i="1"/>
  <c r="E369" i="1"/>
  <c r="CU363" i="1" s="1"/>
  <c r="KA11" i="33"/>
  <c r="EX11" i="33"/>
  <c r="FD11" i="33" s="1"/>
  <c r="FE11" i="33" s="1"/>
  <c r="BZ11" i="33"/>
  <c r="CF11" i="33" s="1"/>
  <c r="CG11" i="33" s="1"/>
  <c r="BD108" i="1"/>
  <c r="BM108" i="1"/>
  <c r="CQ108" i="1"/>
  <c r="BS108" i="1"/>
  <c r="BU108" i="1" s="1"/>
  <c r="BY108" i="1"/>
  <c r="CA108" i="1" s="1"/>
  <c r="CN108" i="1"/>
  <c r="BP108" i="1"/>
  <c r="CW108" i="1"/>
  <c r="CY108" i="1" s="1"/>
  <c r="BV108" i="1"/>
  <c r="HV11" i="33"/>
  <c r="IB11" i="33" s="1"/>
  <c r="IC11" i="33" s="1"/>
  <c r="B11" i="33"/>
  <c r="H11" i="33" s="1"/>
  <c r="I11" i="33" s="1"/>
  <c r="BG108" i="1"/>
  <c r="BI108" i="1" s="1"/>
  <c r="KT11" i="33"/>
  <c r="CB108" i="1"/>
  <c r="CD108" i="1" s="1"/>
  <c r="CZ108" i="1"/>
  <c r="DB108" i="1" s="1"/>
  <c r="EE11" i="33"/>
  <c r="GJ12" i="33"/>
  <c r="BY123" i="1"/>
  <c r="CH123" i="1"/>
  <c r="DC123" i="1"/>
  <c r="BJ123" i="1"/>
  <c r="BL123" i="1" s="1"/>
  <c r="E384" i="1"/>
  <c r="KT12" i="33"/>
  <c r="KZ12" i="33" s="1"/>
  <c r="LA12" i="33" s="1"/>
  <c r="BD123" i="1"/>
  <c r="KA12" i="33"/>
  <c r="CZ123" i="1"/>
  <c r="DB123" i="1" s="1"/>
  <c r="CK123" i="1"/>
  <c r="BM123" i="1"/>
  <c r="CT123" i="1"/>
  <c r="JH12" i="33"/>
  <c r="JN12" i="33" s="1"/>
  <c r="JO12" i="33" s="1"/>
  <c r="B12" i="33"/>
  <c r="HV12" i="33"/>
  <c r="CU123" i="1"/>
  <c r="CI123" i="1"/>
  <c r="CL123" i="1"/>
  <c r="GK12" i="33"/>
  <c r="EY12" i="33"/>
  <c r="C383" i="1"/>
  <c r="DD123" i="1"/>
  <c r="CO123" i="1"/>
  <c r="BH123" i="1"/>
  <c r="BI123" i="1" s="1"/>
  <c r="CA12" i="33"/>
  <c r="BT123" i="1"/>
  <c r="BQ123" i="1"/>
  <c r="CC123" i="1"/>
  <c r="CD123" i="1" s="1"/>
  <c r="BW123" i="1"/>
  <c r="BX123" i="1" s="1"/>
  <c r="CR123" i="1"/>
  <c r="CS123" i="1" s="1"/>
  <c r="HW12" i="33"/>
  <c r="EF12" i="33"/>
  <c r="JI12" i="33"/>
  <c r="C397" i="1"/>
  <c r="CS30" i="33" s="1"/>
  <c r="CY30" i="33" s="1"/>
  <c r="CZ30" i="33" s="1"/>
  <c r="BK138" i="1"/>
  <c r="GK13" i="33"/>
  <c r="DD138" i="1"/>
  <c r="EY13" i="33"/>
  <c r="KU13" i="33"/>
  <c r="CI138" i="1"/>
  <c r="BQ138" i="1"/>
  <c r="DA138" i="1"/>
  <c r="DB138" i="1" s="1"/>
  <c r="BN138" i="1"/>
  <c r="KB13" i="33"/>
  <c r="CA13" i="33"/>
  <c r="BH138" i="1"/>
  <c r="DM13" i="33"/>
  <c r="CC138" i="1"/>
  <c r="CD138" i="1" s="1"/>
  <c r="CL138" i="1"/>
  <c r="CF138" i="1"/>
  <c r="CG138" i="1" s="1"/>
  <c r="EX14" i="33"/>
  <c r="FD14" i="33" s="1"/>
  <c r="FE14" i="33" s="1"/>
  <c r="B14" i="33"/>
  <c r="GJ14" i="33"/>
  <c r="GP14" i="33" s="1"/>
  <c r="GQ14" i="33" s="1"/>
  <c r="E411" i="1"/>
  <c r="CK153" i="1"/>
  <c r="BZ14" i="33"/>
  <c r="BJ153" i="1"/>
  <c r="BM153" i="1"/>
  <c r="BO153" i="1" s="1"/>
  <c r="KA14" i="33"/>
  <c r="KG14" i="33" s="1"/>
  <c r="KH14" i="33" s="1"/>
  <c r="CT153" i="1"/>
  <c r="BV153" i="1"/>
  <c r="BD153" i="1"/>
  <c r="CH153" i="1"/>
  <c r="CJ153" i="1" s="1"/>
  <c r="BY153" i="1"/>
  <c r="CB153" i="1"/>
  <c r="KT14" i="33"/>
  <c r="KZ14" i="33" s="1"/>
  <c r="LA14" i="33" s="1"/>
  <c r="CZ153" i="1"/>
  <c r="HV14" i="33"/>
  <c r="DC153" i="1"/>
  <c r="DE153" i="1" s="1"/>
  <c r="EE14" i="33"/>
  <c r="JH14" i="33"/>
  <c r="C412" i="1"/>
  <c r="CR153" i="1"/>
  <c r="KU14" i="33"/>
  <c r="CA14" i="33"/>
  <c r="DM14" i="33"/>
  <c r="HW14" i="33"/>
  <c r="CN168" i="1"/>
  <c r="CP168" i="1" s="1"/>
  <c r="BY168" i="1"/>
  <c r="BM168" i="1"/>
  <c r="EX15" i="33"/>
  <c r="E425" i="1"/>
  <c r="GJ15" i="33"/>
  <c r="CQ168" i="1"/>
  <c r="CS168" i="1" s="1"/>
  <c r="CE168" i="1"/>
  <c r="BV168" i="1"/>
  <c r="CT168" i="1"/>
  <c r="DC168" i="1"/>
  <c r="B15" i="33"/>
  <c r="H15" i="33" s="1"/>
  <c r="I15" i="33" s="1"/>
  <c r="CZ168" i="1"/>
  <c r="BG168" i="1"/>
  <c r="BD168" i="1"/>
  <c r="CW168" i="1"/>
  <c r="KA15" i="33"/>
  <c r="KT15" i="33"/>
  <c r="BS168" i="1"/>
  <c r="CB168" i="1"/>
  <c r="CH168" i="1"/>
  <c r="EE15" i="33"/>
  <c r="CF168" i="1"/>
  <c r="C425" i="1"/>
  <c r="BT168" i="1"/>
  <c r="CA15" i="33"/>
  <c r="CL168" i="1"/>
  <c r="DM15" i="33"/>
  <c r="BV183" i="1"/>
  <c r="KA16" i="33"/>
  <c r="E439" i="1"/>
  <c r="CZ183" i="1"/>
  <c r="DB183" i="1" s="1"/>
  <c r="BD183" i="1"/>
  <c r="DC183" i="1"/>
  <c r="BJ183" i="1"/>
  <c r="BY183" i="1"/>
  <c r="CB183" i="1"/>
  <c r="KT16" i="33"/>
  <c r="KZ16" i="33" s="1"/>
  <c r="LA16" i="33" s="1"/>
  <c r="CK183" i="1"/>
  <c r="BZ16" i="33"/>
  <c r="BM183" i="1"/>
  <c r="HV16" i="33"/>
  <c r="DL16" i="33"/>
  <c r="CE183" i="1"/>
  <c r="CH183" i="1"/>
  <c r="CT183" i="1"/>
  <c r="CN183" i="1"/>
  <c r="EE16" i="33"/>
  <c r="BH183" i="1"/>
  <c r="BI183" i="1" s="1"/>
  <c r="BN183" i="1"/>
  <c r="BT183" i="1"/>
  <c r="DD183" i="1"/>
  <c r="BQ183" i="1"/>
  <c r="BW183" i="1"/>
  <c r="C439" i="1"/>
  <c r="CL183" i="1"/>
  <c r="GK16" i="33"/>
  <c r="CR183" i="1"/>
  <c r="CX183" i="1"/>
  <c r="BZ183" i="1"/>
  <c r="KB16" i="33"/>
  <c r="CO183" i="1"/>
  <c r="HW16" i="33"/>
  <c r="CA16" i="33"/>
  <c r="CI183" i="1"/>
  <c r="CC183" i="1"/>
  <c r="EF16" i="33"/>
  <c r="JI16" i="33"/>
  <c r="CH198" i="1"/>
  <c r="CQ198" i="1"/>
  <c r="CK198" i="1"/>
  <c r="KA17" i="33"/>
  <c r="KG17" i="33" s="1"/>
  <c r="KH17" i="33" s="1"/>
  <c r="CT198" i="1"/>
  <c r="CN198" i="1"/>
  <c r="CE198" i="1"/>
  <c r="BY198" i="1"/>
  <c r="DC198" i="1"/>
  <c r="BG198" i="1"/>
  <c r="BM198" i="1"/>
  <c r="BP198" i="1"/>
  <c r="BJ198" i="1"/>
  <c r="E453" i="1"/>
  <c r="CW198" i="1"/>
  <c r="BZ17" i="33"/>
  <c r="CZ198" i="1"/>
  <c r="BS198" i="1"/>
  <c r="KT17" i="33"/>
  <c r="HV17" i="33"/>
  <c r="JH17" i="33"/>
  <c r="DL17" i="33"/>
  <c r="DR17" i="33" s="1"/>
  <c r="DS17" i="33" s="1"/>
  <c r="EY17" i="33"/>
  <c r="BQ198" i="1"/>
  <c r="KB17" i="33"/>
  <c r="GK17" i="33"/>
  <c r="DA198" i="1"/>
  <c r="CO198" i="1"/>
  <c r="C454" i="1"/>
  <c r="CU198" i="1"/>
  <c r="BK198" i="1"/>
  <c r="CA17" i="33"/>
  <c r="BZ198" i="1"/>
  <c r="CI198" i="1"/>
  <c r="BE198" i="1"/>
  <c r="BH198" i="1"/>
  <c r="KU17" i="33"/>
  <c r="CC198" i="1"/>
  <c r="BW198" i="1"/>
  <c r="CF198" i="1"/>
  <c r="HW17" i="33"/>
  <c r="C17" i="33"/>
  <c r="EF17" i="33"/>
  <c r="CU213" i="1"/>
  <c r="CV213" i="1" s="1"/>
  <c r="BN213" i="1"/>
  <c r="BE213" i="1"/>
  <c r="CC213" i="1"/>
  <c r="CD213" i="1" s="1"/>
  <c r="KB18" i="33"/>
  <c r="KC18" i="33" s="1"/>
  <c r="CX213" i="1"/>
  <c r="C18" i="33"/>
  <c r="CL213" i="1"/>
  <c r="BQ213" i="1"/>
  <c r="DD213" i="1"/>
  <c r="DE213" i="1" s="1"/>
  <c r="CR213" i="1"/>
  <c r="CS213" i="1" s="1"/>
  <c r="EY18" i="33"/>
  <c r="CA18" i="33"/>
  <c r="C468" i="1"/>
  <c r="BK213" i="1"/>
  <c r="BZ213" i="1"/>
  <c r="KU18" i="33"/>
  <c r="DM18" i="33"/>
  <c r="BT213" i="1"/>
  <c r="HW18" i="33"/>
  <c r="JI18" i="33"/>
  <c r="BQ228" i="1"/>
  <c r="CC228" i="1"/>
  <c r="CF228" i="1"/>
  <c r="CG228" i="1" s="1"/>
  <c r="BW228" i="1"/>
  <c r="BH228" i="1"/>
  <c r="CR228" i="1"/>
  <c r="CO228" i="1"/>
  <c r="BZ228" i="1"/>
  <c r="CA228" i="1" s="1"/>
  <c r="C19" i="33"/>
  <c r="BE228" i="1"/>
  <c r="DA228" i="1"/>
  <c r="CI228" i="1"/>
  <c r="C483" i="1"/>
  <c r="CU228" i="1"/>
  <c r="CL228" i="1"/>
  <c r="KU19" i="33"/>
  <c r="KB19" i="33"/>
  <c r="BT228" i="1"/>
  <c r="BK228" i="1"/>
  <c r="DD228" i="1"/>
  <c r="CA19" i="33"/>
  <c r="EY19" i="33"/>
  <c r="EF19" i="33"/>
  <c r="HW19" i="33"/>
  <c r="DM19" i="33"/>
  <c r="E499" i="1"/>
  <c r="CE243" i="1"/>
  <c r="CT243" i="1"/>
  <c r="CH243" i="1"/>
  <c r="B20" i="33"/>
  <c r="H20" i="33" s="1"/>
  <c r="I20" i="33" s="1"/>
  <c r="BV243" i="1"/>
  <c r="BD243" i="1"/>
  <c r="CZ243" i="1"/>
  <c r="BZ20" i="33"/>
  <c r="CF20" i="33" s="1"/>
  <c r="CG20" i="33" s="1"/>
  <c r="CN243" i="1"/>
  <c r="KA20" i="33"/>
  <c r="KG20" i="33" s="1"/>
  <c r="KH20" i="33" s="1"/>
  <c r="KT20" i="33"/>
  <c r="DL20" i="33"/>
  <c r="BT243" i="1"/>
  <c r="KB20" i="33"/>
  <c r="BQ243" i="1"/>
  <c r="DA243" i="1"/>
  <c r="C499" i="1"/>
  <c r="CX243" i="1"/>
  <c r="BZ243" i="1"/>
  <c r="CL243" i="1"/>
  <c r="BN243" i="1"/>
  <c r="CR243" i="1"/>
  <c r="DD243" i="1"/>
  <c r="KU20" i="33"/>
  <c r="CF243" i="1"/>
  <c r="CO243" i="1"/>
  <c r="CA20" i="33"/>
  <c r="BE243" i="1"/>
  <c r="BH243" i="1"/>
  <c r="BI243" i="1" s="1"/>
  <c r="DM20" i="33"/>
  <c r="HW20" i="33"/>
  <c r="EF20" i="33"/>
  <c r="JI14" i="33"/>
  <c r="EE12" i="33"/>
  <c r="EE8" i="33"/>
  <c r="DL15" i="33"/>
  <c r="HV20" i="33"/>
  <c r="CE123" i="1"/>
  <c r="CG123" i="1" s="1"/>
  <c r="JH19" i="33"/>
  <c r="JI19" i="33"/>
  <c r="EF7" i="33"/>
  <c r="DC63" i="1"/>
  <c r="HV15" i="33"/>
  <c r="IB15" i="33" s="1"/>
  <c r="IC15" i="33" s="1"/>
  <c r="JH15" i="33"/>
  <c r="JI17" i="33"/>
  <c r="EE5" i="33"/>
  <c r="JI15" i="33"/>
  <c r="EF15" i="33"/>
  <c r="JH16" i="33"/>
  <c r="EE19" i="33"/>
  <c r="EF10" i="33"/>
  <c r="JI4" i="33"/>
  <c r="EE9" i="33"/>
  <c r="EE17" i="33"/>
  <c r="EF18" i="33"/>
  <c r="DM16" i="33"/>
  <c r="BI18" i="1"/>
  <c r="JI13" i="33"/>
  <c r="BK393" i="1"/>
  <c r="KU5" i="33"/>
  <c r="KV5" i="33" s="1"/>
  <c r="FQ19" i="33"/>
  <c r="FW19" i="33" s="1"/>
  <c r="FX19" i="33" s="1"/>
  <c r="BM318" i="1"/>
  <c r="E468" i="1"/>
  <c r="BF78" i="1"/>
  <c r="BD3" i="1"/>
  <c r="BF3" i="1" s="1"/>
  <c r="GJ4" i="33"/>
  <c r="GL4" i="33" s="1"/>
  <c r="BQ168" i="1"/>
  <c r="BR168" i="1" s="1"/>
  <c r="DC3" i="1"/>
  <c r="E258" i="1"/>
  <c r="BE168" i="1"/>
  <c r="BK168" i="1"/>
  <c r="BL168" i="1" s="1"/>
  <c r="BH168" i="1"/>
  <c r="BI168" i="1" s="1"/>
  <c r="BM3" i="1"/>
  <c r="IB10" i="33"/>
  <c r="IC10" i="33" s="1"/>
  <c r="BZ4" i="33"/>
  <c r="KB15" i="33"/>
  <c r="EY15" i="33"/>
  <c r="DA168" i="1"/>
  <c r="DB168" i="1" s="1"/>
  <c r="BW168" i="1"/>
  <c r="BS3" i="1"/>
  <c r="BU3" i="1" s="1"/>
  <c r="CI168" i="1"/>
  <c r="AP10" i="33"/>
  <c r="BP3" i="1"/>
  <c r="CD48" i="1"/>
  <c r="KU15" i="33"/>
  <c r="C15" i="33"/>
  <c r="D15" i="33" s="1"/>
  <c r="BN168" i="1"/>
  <c r="KA4" i="33"/>
  <c r="KG4" i="33" s="1"/>
  <c r="KH4" i="33" s="1"/>
  <c r="KT4" i="33"/>
  <c r="DD168" i="1"/>
  <c r="DE168" i="1" s="1"/>
  <c r="CC168" i="1"/>
  <c r="CD168" i="1" s="1"/>
  <c r="EG4" i="33"/>
  <c r="K433" i="1"/>
  <c r="V319" i="1"/>
  <c r="DH319" i="1"/>
  <c r="J319" i="1" s="1"/>
  <c r="L396" i="1"/>
  <c r="DH396" i="1"/>
  <c r="L96" i="1"/>
  <c r="DH96" i="1"/>
  <c r="L460" i="1"/>
  <c r="DH460" i="1"/>
  <c r="DH51" i="1"/>
  <c r="DH79" i="1"/>
  <c r="DH129" i="1"/>
  <c r="DH235" i="1"/>
  <c r="DH411" i="1"/>
  <c r="DH425" i="1"/>
  <c r="DH453" i="1"/>
  <c r="DH461" i="1"/>
  <c r="DH489" i="1"/>
  <c r="Q372" i="1"/>
  <c r="DH39" i="1"/>
  <c r="DH123" i="1"/>
  <c r="DH131" i="1"/>
  <c r="DH201" i="1"/>
  <c r="DH229" i="1"/>
  <c r="N229" i="1" s="1"/>
  <c r="DH251" i="1"/>
  <c r="DH265" i="1"/>
  <c r="DH293" i="1"/>
  <c r="DH399" i="1"/>
  <c r="DH455" i="1"/>
  <c r="DH483" i="1"/>
  <c r="DH491" i="1"/>
  <c r="DH505" i="1"/>
  <c r="F58" i="1"/>
  <c r="DH19" i="1"/>
  <c r="DH40" i="1"/>
  <c r="DH54" i="1"/>
  <c r="DH82" i="1"/>
  <c r="DH138" i="1"/>
  <c r="DH174" i="1"/>
  <c r="DH386" i="1"/>
  <c r="DH456" i="1"/>
  <c r="J456" i="1" s="1"/>
  <c r="DH506" i="1"/>
  <c r="DH33" i="1"/>
  <c r="DH203" i="1"/>
  <c r="DH379" i="1"/>
  <c r="DH457" i="1"/>
  <c r="F13" i="1"/>
  <c r="F14" i="1" s="1"/>
  <c r="F133" i="1"/>
  <c r="DH34" i="1"/>
  <c r="R34" i="1" s="1"/>
  <c r="DH48" i="1"/>
  <c r="DH140" i="1"/>
  <c r="DH204" i="1"/>
  <c r="DH324" i="1"/>
  <c r="DH408" i="1"/>
  <c r="DH24" i="1"/>
  <c r="DH35" i="1"/>
  <c r="N35" i="1" s="1"/>
  <c r="DH63" i="1"/>
  <c r="DH303" i="1"/>
  <c r="DH395" i="1"/>
  <c r="DH409" i="1"/>
  <c r="T409" i="1" s="1"/>
  <c r="DH459" i="1"/>
  <c r="DH473" i="1"/>
  <c r="DH487" i="1"/>
  <c r="DH50" i="1"/>
  <c r="DH100" i="1"/>
  <c r="DH128" i="1"/>
  <c r="DH276" i="1"/>
  <c r="DH340" i="1"/>
  <c r="DH354" i="1"/>
  <c r="DH410" i="1"/>
  <c r="P3" i="1"/>
  <c r="O12" i="1" s="1"/>
  <c r="P12" i="1" s="1"/>
  <c r="R484" i="1"/>
  <c r="I462" i="1"/>
  <c r="T456" i="1"/>
  <c r="V454" i="1"/>
  <c r="L454" i="1"/>
  <c r="N454" i="1"/>
  <c r="J454" i="1"/>
  <c r="U448" i="1"/>
  <c r="U447" i="1"/>
  <c r="U449" i="1" s="1"/>
  <c r="G30" i="3" s="1"/>
  <c r="K432" i="1"/>
  <c r="N409" i="1"/>
  <c r="Q373" i="1"/>
  <c r="Q374" i="1" s="1"/>
  <c r="E25" i="3" s="1"/>
  <c r="Z25" i="3" s="1"/>
  <c r="N364" i="1"/>
  <c r="N349" i="1"/>
  <c r="V274" i="1"/>
  <c r="R274" i="1"/>
  <c r="V215" i="1"/>
  <c r="N215" i="1"/>
  <c r="J184" i="1"/>
  <c r="R184" i="1"/>
  <c r="V184" i="1"/>
  <c r="T184" i="1"/>
  <c r="S193" i="1" s="1"/>
  <c r="N184" i="1"/>
  <c r="J170" i="1"/>
  <c r="V170" i="1"/>
  <c r="N170" i="1"/>
  <c r="L124" i="1"/>
  <c r="J124" i="1"/>
  <c r="N124" i="1"/>
  <c r="T124" i="1"/>
  <c r="V124" i="1"/>
  <c r="J110" i="1"/>
  <c r="V64" i="1"/>
  <c r="N64" i="1"/>
  <c r="J64" i="1"/>
  <c r="N34" i="1"/>
  <c r="T34" i="1"/>
  <c r="R35" i="1"/>
  <c r="R234" i="1"/>
  <c r="N140" i="1"/>
  <c r="V140" i="1"/>
  <c r="J290" i="1"/>
  <c r="I297" i="1" s="1"/>
  <c r="V290" i="1"/>
  <c r="BK258" i="1"/>
  <c r="CF8" i="33"/>
  <c r="CG8" i="33" s="1"/>
  <c r="CB8" i="33"/>
  <c r="BW273" i="1"/>
  <c r="EF22" i="33"/>
  <c r="CX273" i="1"/>
  <c r="HW22" i="33"/>
  <c r="BE273" i="1"/>
  <c r="BZ273" i="1"/>
  <c r="EE27" i="33"/>
  <c r="EK27" i="33" s="1"/>
  <c r="EL27" i="33" s="1"/>
  <c r="CZ348" i="1"/>
  <c r="CS27" i="33"/>
  <c r="AN27" i="33"/>
  <c r="AT27" i="33" s="1"/>
  <c r="AU27" i="33" s="1"/>
  <c r="BP348" i="1"/>
  <c r="BM348" i="1"/>
  <c r="CH348" i="1"/>
  <c r="JH27" i="33"/>
  <c r="JN27" i="33" s="1"/>
  <c r="JO27" i="33" s="1"/>
  <c r="CN348" i="1"/>
  <c r="CT348" i="1"/>
  <c r="IO27" i="33"/>
  <c r="IU27" i="33" s="1"/>
  <c r="IV27" i="33" s="1"/>
  <c r="CE348" i="1"/>
  <c r="HV27" i="33"/>
  <c r="IB27" i="33" s="1"/>
  <c r="IC27" i="33" s="1"/>
  <c r="FQ27" i="33"/>
  <c r="FS27" i="33" s="1"/>
  <c r="DL27" i="33"/>
  <c r="DR27" i="33" s="1"/>
  <c r="DS27" i="33" s="1"/>
  <c r="CC318" i="1"/>
  <c r="L262" i="1"/>
  <c r="V126" i="1"/>
  <c r="J49" i="1"/>
  <c r="N49" i="1"/>
  <c r="L146" i="1"/>
  <c r="DQ205" i="1"/>
  <c r="R146" i="1"/>
  <c r="DP7" i="1"/>
  <c r="DP49" i="1"/>
  <c r="DP55" i="1"/>
  <c r="DQ68" i="1"/>
  <c r="DQ248" i="1"/>
  <c r="DP366" i="1"/>
  <c r="N491" i="1"/>
  <c r="CM228" i="1"/>
  <c r="CY213" i="1"/>
  <c r="J3" i="1"/>
  <c r="DP4" i="1"/>
  <c r="DP24" i="1"/>
  <c r="O222" i="1"/>
  <c r="DQ67" i="1"/>
  <c r="DP101" i="1"/>
  <c r="DQ217" i="1"/>
  <c r="F253" i="1"/>
  <c r="DP305" i="1"/>
  <c r="O493" i="1"/>
  <c r="CD78" i="1"/>
  <c r="DQ6" i="1"/>
  <c r="DQ82" i="1"/>
  <c r="DQ124" i="1"/>
  <c r="DP144" i="1"/>
  <c r="DP146" i="1"/>
  <c r="DQ172" i="1"/>
  <c r="DQ183" i="1"/>
  <c r="DQ187" i="1"/>
  <c r="DP190" i="1"/>
  <c r="DQ199" i="1"/>
  <c r="DQ202" i="1"/>
  <c r="DQ204" i="1"/>
  <c r="DP235" i="1"/>
  <c r="DP266" i="1"/>
  <c r="DQ277" i="1"/>
  <c r="DQ279" i="1"/>
  <c r="DP291" i="1"/>
  <c r="DP295" i="1"/>
  <c r="DQ351" i="1"/>
  <c r="DP355" i="1"/>
  <c r="R144" i="1"/>
  <c r="BE48" i="1"/>
  <c r="BF48" i="1" s="1"/>
  <c r="BV93" i="1"/>
  <c r="L3" i="1"/>
  <c r="N146" i="1"/>
  <c r="DP23" i="1"/>
  <c r="DP36" i="1"/>
  <c r="DQ70" i="1"/>
  <c r="L326" i="1"/>
  <c r="CJ63" i="1"/>
  <c r="J93" i="1"/>
  <c r="V146" i="1"/>
  <c r="U147" i="1" s="1"/>
  <c r="DQ96" i="1"/>
  <c r="DP99" i="1"/>
  <c r="DP110" i="1"/>
  <c r="DP288" i="1"/>
  <c r="DP293" i="1"/>
  <c r="DQ365" i="1"/>
  <c r="T130" i="1"/>
  <c r="DP8" i="1"/>
  <c r="DQ84" i="1"/>
  <c r="DP86" i="1"/>
  <c r="DQ363" i="1"/>
  <c r="F493" i="1"/>
  <c r="T243" i="1"/>
  <c r="V243" i="1"/>
  <c r="R243" i="1"/>
  <c r="S418" i="1"/>
  <c r="R258" i="1"/>
  <c r="N258" i="1"/>
  <c r="T258" i="1"/>
  <c r="L258" i="1"/>
  <c r="V258" i="1"/>
  <c r="V306" i="1"/>
  <c r="R414" i="1"/>
  <c r="J414" i="1"/>
  <c r="V262" i="1"/>
  <c r="J380" i="1"/>
  <c r="V380" i="1"/>
  <c r="AP9" i="33"/>
  <c r="H6" i="33"/>
  <c r="I6" i="33" s="1"/>
  <c r="BH363" i="1"/>
  <c r="BW363" i="1"/>
  <c r="CR363" i="1"/>
  <c r="EY28" i="33"/>
  <c r="CO363" i="1"/>
  <c r="V159" i="1"/>
  <c r="N290" i="1"/>
  <c r="O102" i="1"/>
  <c r="O88" i="1"/>
  <c r="V382" i="1"/>
  <c r="T204" i="1"/>
  <c r="N9" i="1"/>
  <c r="V280" i="1"/>
  <c r="V94" i="1"/>
  <c r="J488" i="1"/>
  <c r="N486" i="1"/>
  <c r="R214" i="1"/>
  <c r="DQ86" i="1"/>
  <c r="N414" i="1"/>
  <c r="DQ412" i="1"/>
  <c r="N380" i="1"/>
  <c r="N260" i="1"/>
  <c r="DP202" i="1"/>
  <c r="V309" i="1"/>
  <c r="N113" i="1"/>
  <c r="N22" i="1"/>
  <c r="J113" i="1"/>
  <c r="R55" i="1"/>
  <c r="T125" i="1"/>
  <c r="R101" i="1"/>
  <c r="V34" i="1"/>
  <c r="R383" i="1"/>
  <c r="DP41" i="1"/>
  <c r="DQ113" i="1"/>
  <c r="DP123" i="1"/>
  <c r="F208" i="1"/>
  <c r="DQ288" i="1"/>
  <c r="DQ311" i="1"/>
  <c r="DQ364" i="1"/>
  <c r="DQ366" i="1"/>
  <c r="DP396" i="1"/>
  <c r="O342" i="1"/>
  <c r="O253" i="1"/>
  <c r="CB10" i="33"/>
  <c r="J116" i="1"/>
  <c r="V116" i="1"/>
  <c r="R82" i="1"/>
  <c r="T488" i="1"/>
  <c r="R486" i="1"/>
  <c r="J80" i="1"/>
  <c r="DQ51" i="1"/>
  <c r="DP217" i="1"/>
  <c r="N445" i="1"/>
  <c r="J364" i="1"/>
  <c r="DP248" i="1"/>
  <c r="DQ160" i="1"/>
  <c r="L395" i="1"/>
  <c r="DP383" i="1"/>
  <c r="DP141" i="1"/>
  <c r="N125" i="1"/>
  <c r="R49" i="1"/>
  <c r="T67" i="1"/>
  <c r="V383" i="1"/>
  <c r="DP53" i="1"/>
  <c r="J111" i="1"/>
  <c r="DQ140" i="1"/>
  <c r="DQ250" i="1"/>
  <c r="J265" i="1"/>
  <c r="L266" i="1"/>
  <c r="DQ324" i="1"/>
  <c r="DQ416" i="1"/>
  <c r="DQ430" i="1"/>
  <c r="DQ457" i="1"/>
  <c r="DP488" i="1"/>
  <c r="R491" i="1"/>
  <c r="N101" i="1"/>
  <c r="T94" i="1"/>
  <c r="V486" i="1"/>
  <c r="L486" i="1"/>
  <c r="DQ64" i="1"/>
  <c r="DP469" i="1"/>
  <c r="L364" i="1"/>
  <c r="R128" i="1"/>
  <c r="DP204" i="1"/>
  <c r="DP96" i="1"/>
  <c r="R382" i="1"/>
  <c r="DP369" i="1"/>
  <c r="L34" i="1"/>
  <c r="V55" i="1"/>
  <c r="J63" i="1"/>
  <c r="L40" i="1"/>
  <c r="L174" i="1"/>
  <c r="L383" i="1"/>
  <c r="DQ55" i="1"/>
  <c r="DQ56" i="1"/>
  <c r="DQ176" i="1"/>
  <c r="DP189" i="1"/>
  <c r="F163" i="1"/>
  <c r="DQ220" i="1"/>
  <c r="DP245" i="1"/>
  <c r="DP341" i="1"/>
  <c r="DQ367" i="1"/>
  <c r="DP380" i="1"/>
  <c r="T203" i="1"/>
  <c r="O477" i="1"/>
  <c r="CY48" i="1"/>
  <c r="J94" i="1"/>
  <c r="R80" i="1"/>
  <c r="T63" i="1"/>
  <c r="J260" i="1"/>
  <c r="N488" i="1"/>
  <c r="N214" i="1"/>
  <c r="T214" i="1"/>
  <c r="L80" i="1"/>
  <c r="N85" i="1"/>
  <c r="M88" i="1" s="1"/>
  <c r="R395" i="1"/>
  <c r="N382" i="1"/>
  <c r="DQ291" i="1"/>
  <c r="L22" i="1"/>
  <c r="R394" i="1"/>
  <c r="T128" i="1"/>
  <c r="V128" i="1"/>
  <c r="V67" i="1"/>
  <c r="L63" i="1"/>
  <c r="N143" i="1"/>
  <c r="R174" i="1"/>
  <c r="L230" i="1"/>
  <c r="L67" i="1"/>
  <c r="V204" i="1"/>
  <c r="N94" i="1"/>
  <c r="T80" i="1"/>
  <c r="J82" i="1"/>
  <c r="R488" i="1"/>
  <c r="DQ23" i="1"/>
  <c r="T22" i="1"/>
  <c r="N394" i="1"/>
  <c r="L128" i="1"/>
  <c r="N55" i="1"/>
  <c r="R22" i="1"/>
  <c r="R66" i="1"/>
  <c r="N230" i="1"/>
  <c r="J309" i="1"/>
  <c r="DP351" i="1"/>
  <c r="DQ145" i="1"/>
  <c r="DQ296" i="1"/>
  <c r="R326" i="1"/>
  <c r="N3" i="1"/>
  <c r="T353" i="1"/>
  <c r="DQ10" i="1"/>
  <c r="DQ26" i="1"/>
  <c r="N67" i="1"/>
  <c r="DP81" i="1"/>
  <c r="DQ138" i="1"/>
  <c r="DP175" i="1"/>
  <c r="DP234" i="1"/>
  <c r="DQ305" i="1"/>
  <c r="T364" i="1"/>
  <c r="DP424" i="1"/>
  <c r="DQ445" i="1"/>
  <c r="DQ472" i="1"/>
  <c r="BQ363" i="1"/>
  <c r="DD363" i="1"/>
  <c r="D14" i="33"/>
  <c r="H14" i="33"/>
  <c r="I14" i="33" s="1"/>
  <c r="CF18" i="33"/>
  <c r="CG18" i="33" s="1"/>
  <c r="CB18" i="33"/>
  <c r="DD468" i="1"/>
  <c r="CU468" i="1"/>
  <c r="BK468" i="1"/>
  <c r="BZ468" i="1"/>
  <c r="CA35" i="33"/>
  <c r="CC468" i="1"/>
  <c r="C35" i="33"/>
  <c r="CO468" i="1"/>
  <c r="KG15" i="33"/>
  <c r="KH15" i="33" s="1"/>
  <c r="KC15" i="33"/>
  <c r="KV7" i="33"/>
  <c r="KZ13" i="33"/>
  <c r="LA13" i="33" s="1"/>
  <c r="BG318" i="1"/>
  <c r="KV14" i="33"/>
  <c r="CV18" i="1"/>
  <c r="CZ3" i="1"/>
  <c r="DB3" i="1" s="1"/>
  <c r="CU108" i="1"/>
  <c r="CV108" i="1" s="1"/>
  <c r="CK168" i="1"/>
  <c r="BV198" i="1"/>
  <c r="BF18" i="1"/>
  <c r="CW3" i="1"/>
  <c r="CY3" i="1" s="1"/>
  <c r="FR17" i="33"/>
  <c r="BG3" i="1"/>
  <c r="BI3" i="1" s="1"/>
  <c r="CH3" i="1"/>
  <c r="CJ3" i="1" s="1"/>
  <c r="FR5" i="33"/>
  <c r="CT3" i="1"/>
  <c r="C2" i="24"/>
  <c r="CQ3" i="1"/>
  <c r="CB3" i="1"/>
  <c r="CD3" i="1" s="1"/>
  <c r="FQ13" i="33"/>
  <c r="CE3" i="1"/>
  <c r="CG3" i="1" s="1"/>
  <c r="BY3" i="1"/>
  <c r="K2" i="24"/>
  <c r="BV3" i="1"/>
  <c r="JI7" i="33"/>
  <c r="IP13" i="33"/>
  <c r="IO10" i="33"/>
  <c r="IO17" i="33"/>
  <c r="IO19" i="33"/>
  <c r="IU19" i="33" s="1"/>
  <c r="IV19" i="33" s="1"/>
  <c r="IP17" i="33"/>
  <c r="IP5" i="33"/>
  <c r="IP4" i="33"/>
  <c r="IO4" i="33"/>
  <c r="IO9" i="33"/>
  <c r="IU9" i="33" s="1"/>
  <c r="IV9" i="33" s="1"/>
  <c r="IP10" i="33"/>
  <c r="BG2" i="33"/>
  <c r="BG20" i="33" s="1"/>
  <c r="E2" i="24"/>
  <c r="HC2" i="33"/>
  <c r="M2" i="24"/>
  <c r="JH20" i="33"/>
  <c r="CP183" i="1"/>
  <c r="CT18" i="33"/>
  <c r="CT6" i="33"/>
  <c r="CS5" i="33"/>
  <c r="CS18" i="33"/>
  <c r="CT4" i="33"/>
  <c r="CT5" i="33"/>
  <c r="BR78" i="1"/>
  <c r="KC17" i="33"/>
  <c r="BU123" i="1"/>
  <c r="C6" i="33"/>
  <c r="GK6" i="33"/>
  <c r="CL33" i="1"/>
  <c r="BW33" i="1"/>
  <c r="BX33" i="1" s="1"/>
  <c r="BN33" i="1"/>
  <c r="BO33" i="1" s="1"/>
  <c r="E438" i="1"/>
  <c r="E498" i="1"/>
  <c r="BK243" i="1"/>
  <c r="C498" i="1"/>
  <c r="CA6" i="33"/>
  <c r="BY243" i="1"/>
  <c r="CA243" i="1" s="1"/>
  <c r="BJ243" i="1"/>
  <c r="CU183" i="1"/>
  <c r="CV183" i="1" s="1"/>
  <c r="CW183" i="1"/>
  <c r="CU33" i="1"/>
  <c r="CV33" i="1" s="1"/>
  <c r="DA33" i="1"/>
  <c r="CV243" i="1"/>
  <c r="CX33" i="1"/>
  <c r="CY33" i="1" s="1"/>
  <c r="CR33" i="1"/>
  <c r="CS33" i="1" s="1"/>
  <c r="GJ16" i="33"/>
  <c r="GP16" i="33" s="1"/>
  <c r="GQ16" i="33" s="1"/>
  <c r="BK33" i="1"/>
  <c r="BL33" i="1" s="1"/>
  <c r="A51" i="33"/>
  <c r="EX8" i="33"/>
  <c r="AK41" i="33"/>
  <c r="EX4" i="33"/>
  <c r="EX20" i="33"/>
  <c r="FD20" i="33" s="1"/>
  <c r="FE20" i="33" s="1"/>
  <c r="BP243" i="1"/>
  <c r="BR243" i="1" s="1"/>
  <c r="DC243" i="1"/>
  <c r="CB243" i="1"/>
  <c r="EY16" i="33"/>
  <c r="BE33" i="1"/>
  <c r="CC33" i="1"/>
  <c r="EX16" i="33"/>
  <c r="C20" i="33"/>
  <c r="CI33" i="1"/>
  <c r="C288" i="1"/>
  <c r="CH93" i="1"/>
  <c r="CJ93" i="1" s="1"/>
  <c r="BJ93" i="1"/>
  <c r="BL93" i="1" s="1"/>
  <c r="CQ93" i="1"/>
  <c r="CS93" i="1" s="1"/>
  <c r="BT33" i="1"/>
  <c r="BU33" i="1" s="1"/>
  <c r="CK243" i="1"/>
  <c r="CM243" i="1" s="1"/>
  <c r="BW243" i="1"/>
  <c r="BX243" i="1" s="1"/>
  <c r="C500" i="1"/>
  <c r="CB93" i="1"/>
  <c r="CD93" i="1" s="1"/>
  <c r="CR3" i="1"/>
  <c r="CS3" i="1" s="1"/>
  <c r="BK3" i="1"/>
  <c r="CL3" i="1"/>
  <c r="BY93" i="1"/>
  <c r="BZ3" i="1"/>
  <c r="BW3" i="1"/>
  <c r="CK93" i="1"/>
  <c r="CM93" i="1" s="1"/>
  <c r="CE93" i="1"/>
  <c r="E261" i="1"/>
  <c r="CU3" i="1"/>
  <c r="BG93" i="1"/>
  <c r="BI93" i="1" s="1"/>
  <c r="AT13" i="33"/>
  <c r="AU13" i="33" s="1"/>
  <c r="HV6" i="33"/>
  <c r="HW10" i="33"/>
  <c r="BN468" i="1"/>
  <c r="BQ468" i="1"/>
  <c r="CX468" i="1"/>
  <c r="DA468" i="1"/>
  <c r="CL468" i="1"/>
  <c r="EY35" i="33"/>
  <c r="GK35" i="33"/>
  <c r="BE468" i="1"/>
  <c r="CR468" i="1"/>
  <c r="HD35" i="33"/>
  <c r="BW468" i="1"/>
  <c r="KB35" i="33"/>
  <c r="BT468" i="1"/>
  <c r="BK483" i="1"/>
  <c r="KA36" i="33"/>
  <c r="CG63" i="1"/>
  <c r="CT13" i="33"/>
  <c r="CS12" i="33"/>
  <c r="A48" i="33"/>
  <c r="IO14" i="33"/>
  <c r="IU14" i="33" s="1"/>
  <c r="IV14" i="33" s="1"/>
  <c r="GK19" i="33"/>
  <c r="BP228" i="1"/>
  <c r="BR228" i="1" s="1"/>
  <c r="C370" i="1"/>
  <c r="CX228" i="1"/>
  <c r="C303" i="1"/>
  <c r="CT7" i="33"/>
  <c r="FQ4" i="33"/>
  <c r="FW4" i="33" s="1"/>
  <c r="FX4" i="33" s="1"/>
  <c r="CS15" i="33"/>
  <c r="CS9" i="33"/>
  <c r="IO18" i="33"/>
  <c r="E348" i="1"/>
  <c r="BV228" i="1"/>
  <c r="BX228" i="1" s="1"/>
  <c r="BS48" i="1"/>
  <c r="BU48" i="1" s="1"/>
  <c r="E500" i="1"/>
  <c r="CG198" i="1"/>
  <c r="IO15" i="33"/>
  <c r="IU15" i="33" s="1"/>
  <c r="IV15" i="33" s="1"/>
  <c r="CS16" i="33"/>
  <c r="CT20" i="33"/>
  <c r="IO16" i="33"/>
  <c r="CW93" i="1"/>
  <c r="CY93" i="1" s="1"/>
  <c r="BS213" i="1"/>
  <c r="CB198" i="1"/>
  <c r="CD198" i="1" s="1"/>
  <c r="BS183" i="1"/>
  <c r="E385" i="1"/>
  <c r="E426" i="1"/>
  <c r="CA78" i="1"/>
  <c r="BX78" i="1"/>
  <c r="CT10" i="33"/>
  <c r="AE41" i="33"/>
  <c r="IP9" i="33"/>
  <c r="E454" i="1"/>
  <c r="CQ243" i="1"/>
  <c r="CS243" i="1" s="1"/>
  <c r="CQ183" i="1"/>
  <c r="BP123" i="1"/>
  <c r="BR123" i="1" s="1"/>
  <c r="IP16" i="33"/>
  <c r="CT35" i="33"/>
  <c r="CS20" i="33"/>
  <c r="CS8" i="33"/>
  <c r="CY8" i="33" s="1"/>
  <c r="CZ8" i="33" s="1"/>
  <c r="IO12" i="33"/>
  <c r="BS243" i="1"/>
  <c r="BJ3" i="1"/>
  <c r="E304" i="1"/>
  <c r="BJ228" i="1"/>
  <c r="DA213" i="1"/>
  <c r="DB213" i="1" s="1"/>
  <c r="BN3" i="1"/>
  <c r="IP7" i="33"/>
  <c r="IO13" i="33"/>
  <c r="CT17" i="33"/>
  <c r="CS7" i="33"/>
  <c r="IO20" i="33"/>
  <c r="IU20" i="33" s="1"/>
  <c r="IV20" i="33" s="1"/>
  <c r="CK48" i="1"/>
  <c r="CM48" i="1" s="1"/>
  <c r="J190" i="1"/>
  <c r="N190" i="1"/>
  <c r="M192" i="1" s="1"/>
  <c r="L190" i="1"/>
  <c r="K193" i="1" s="1"/>
  <c r="R190" i="1"/>
  <c r="Q193" i="1" s="1"/>
  <c r="N175" i="1"/>
  <c r="L306" i="1"/>
  <c r="K434" i="1"/>
  <c r="B29" i="3" s="1"/>
  <c r="J262" i="1"/>
  <c r="I268" i="1" s="1"/>
  <c r="Q267" i="1"/>
  <c r="Q327" i="1"/>
  <c r="U193" i="1"/>
  <c r="R306" i="1"/>
  <c r="Q417" i="1"/>
  <c r="K192" i="1"/>
  <c r="L234" i="1"/>
  <c r="L413" i="1"/>
  <c r="J413" i="1"/>
  <c r="R277" i="1"/>
  <c r="N234" i="1"/>
  <c r="N289" i="1"/>
  <c r="M297" i="1" s="1"/>
  <c r="J277" i="1"/>
  <c r="BZ33" i="33"/>
  <c r="B27" i="33"/>
  <c r="H27" i="33" s="1"/>
  <c r="I27" i="33" s="1"/>
  <c r="BZ27" i="33"/>
  <c r="CW348" i="1"/>
  <c r="KA27" i="33"/>
  <c r="GJ27" i="33"/>
  <c r="CB348" i="1"/>
  <c r="KT27" i="33"/>
  <c r="BD348" i="1"/>
  <c r="HC27" i="33"/>
  <c r="HI27" i="33" s="1"/>
  <c r="HJ27" i="33" s="1"/>
  <c r="CQ348" i="1"/>
  <c r="BY348" i="1"/>
  <c r="EX27" i="33"/>
  <c r="FD27" i="33" s="1"/>
  <c r="FE27" i="33" s="1"/>
  <c r="V425" i="1"/>
  <c r="T425" i="1"/>
  <c r="S433" i="1" s="1"/>
  <c r="N425" i="1"/>
  <c r="M433" i="1" s="1"/>
  <c r="BE258" i="1"/>
  <c r="C411" i="1"/>
  <c r="DP228" i="1"/>
  <c r="DQ228" i="1"/>
  <c r="V305" i="1"/>
  <c r="U312" i="1" s="1"/>
  <c r="T485" i="1"/>
  <c r="N485" i="1"/>
  <c r="R485" i="1"/>
  <c r="J485" i="1"/>
  <c r="N336" i="1"/>
  <c r="L336" i="1"/>
  <c r="L348" i="1"/>
  <c r="T348" i="1"/>
  <c r="V348" i="1"/>
  <c r="R381" i="1"/>
  <c r="L381" i="1"/>
  <c r="J381" i="1"/>
  <c r="DQ22" i="1"/>
  <c r="DP22" i="1"/>
  <c r="DQ214" i="1"/>
  <c r="DP214" i="1"/>
  <c r="R220" i="1"/>
  <c r="T220" i="1"/>
  <c r="V220" i="1"/>
  <c r="N220" i="1"/>
  <c r="DQ294" i="1"/>
  <c r="DP294" i="1"/>
  <c r="R275" i="1"/>
  <c r="J275" i="1"/>
  <c r="I282" i="1" s="1"/>
  <c r="N490" i="1"/>
  <c r="KB14" i="33"/>
  <c r="CX153" i="1"/>
  <c r="J337" i="1"/>
  <c r="T321" i="1"/>
  <c r="T305" i="1"/>
  <c r="T279" i="1"/>
  <c r="R279" i="1"/>
  <c r="T202" i="1"/>
  <c r="R202" i="1"/>
  <c r="V202" i="1"/>
  <c r="J202" i="1"/>
  <c r="L202" i="1"/>
  <c r="N202" i="1"/>
  <c r="T139" i="1"/>
  <c r="V139" i="1"/>
  <c r="R139" i="1"/>
  <c r="Q147" i="1" s="1"/>
  <c r="L139" i="1"/>
  <c r="K148" i="1" s="1"/>
  <c r="J139" i="1"/>
  <c r="J472" i="1"/>
  <c r="L472" i="1"/>
  <c r="N472" i="1"/>
  <c r="N200" i="1"/>
  <c r="R200" i="1"/>
  <c r="L200" i="1"/>
  <c r="K207" i="1" s="1"/>
  <c r="BH303" i="1"/>
  <c r="DA153" i="1"/>
  <c r="DB153" i="1" s="1"/>
  <c r="CU153" i="1"/>
  <c r="CV153" i="1" s="1"/>
  <c r="BX168" i="1"/>
  <c r="T336" i="1"/>
  <c r="R337" i="1"/>
  <c r="J321" i="1"/>
  <c r="J220" i="1"/>
  <c r="T7" i="1"/>
  <c r="L20" i="1"/>
  <c r="J20" i="1"/>
  <c r="N20" i="1"/>
  <c r="R20" i="1"/>
  <c r="V20" i="1"/>
  <c r="DQ114" i="1"/>
  <c r="DP114" i="1"/>
  <c r="DP125" i="1"/>
  <c r="DQ125" i="1"/>
  <c r="DQ354" i="1"/>
  <c r="DP354" i="1"/>
  <c r="DQ356" i="1"/>
  <c r="L469" i="1"/>
  <c r="N469" i="1"/>
  <c r="T469" i="1"/>
  <c r="J469" i="1"/>
  <c r="V246" i="1"/>
  <c r="U252" i="1" s="1"/>
  <c r="R249" i="1"/>
  <c r="C14" i="33"/>
  <c r="BZ153" i="1"/>
  <c r="BE153" i="1"/>
  <c r="BF153" i="1" s="1"/>
  <c r="BH153" i="1"/>
  <c r="BI153" i="1" s="1"/>
  <c r="J348" i="1"/>
  <c r="DP70" i="1"/>
  <c r="DQ349" i="1"/>
  <c r="DP349" i="1"/>
  <c r="T398" i="1"/>
  <c r="N398" i="1"/>
  <c r="L398" i="1"/>
  <c r="DP415" i="1"/>
  <c r="DQ415" i="1"/>
  <c r="DP431" i="1"/>
  <c r="DQ431" i="1"/>
  <c r="R221" i="1"/>
  <c r="C453" i="1"/>
  <c r="BT198" i="1"/>
  <c r="BU198" i="1" s="1"/>
  <c r="CR198" i="1"/>
  <c r="E306" i="1"/>
  <c r="BP93" i="1"/>
  <c r="BR93" i="1" s="1"/>
  <c r="E350" i="1"/>
  <c r="E485" i="1"/>
  <c r="KU36" i="33" s="1"/>
  <c r="CB228" i="1"/>
  <c r="CD228" i="1" s="1"/>
  <c r="CH228" i="1"/>
  <c r="CJ228" i="1" s="1"/>
  <c r="C488" i="1"/>
  <c r="BS483" i="1" s="1"/>
  <c r="BN228" i="1"/>
  <c r="E502" i="1"/>
  <c r="BM243" i="1"/>
  <c r="BO243" i="1" s="1"/>
  <c r="J38" i="1"/>
  <c r="T38" i="1"/>
  <c r="N38" i="1"/>
  <c r="V38" i="1"/>
  <c r="R38" i="1"/>
  <c r="L38" i="1"/>
  <c r="HD14" i="33"/>
  <c r="BT153" i="1"/>
  <c r="N384" i="1"/>
  <c r="V336" i="1"/>
  <c r="N337" i="1"/>
  <c r="N321" i="1"/>
  <c r="L333" i="1"/>
  <c r="J305" i="1"/>
  <c r="L220" i="1"/>
  <c r="DP338" i="1"/>
  <c r="DQ338" i="1"/>
  <c r="V394" i="1"/>
  <c r="J394" i="1"/>
  <c r="R400" i="1"/>
  <c r="V400" i="1"/>
  <c r="N21" i="1"/>
  <c r="N123" i="1"/>
  <c r="J123" i="1"/>
  <c r="R123" i="1"/>
  <c r="L123" i="1"/>
  <c r="J176" i="1"/>
  <c r="L176" i="1"/>
  <c r="CO153" i="1"/>
  <c r="L384" i="1"/>
  <c r="R336" i="1"/>
  <c r="N333" i="1"/>
  <c r="J245" i="1"/>
  <c r="L485" i="1"/>
  <c r="V485" i="1"/>
  <c r="R99" i="1"/>
  <c r="R198" i="1"/>
  <c r="N198" i="1"/>
  <c r="DP394" i="1"/>
  <c r="DQ394" i="1"/>
  <c r="DP503" i="1"/>
  <c r="CG78" i="1"/>
  <c r="DE3" i="1"/>
  <c r="CJ123" i="1"/>
  <c r="BQ153" i="1"/>
  <c r="L321" i="1"/>
  <c r="R305" i="1"/>
  <c r="Q312" i="1" s="1"/>
  <c r="DQ380" i="1"/>
  <c r="DP94" i="1"/>
  <c r="DQ94" i="1"/>
  <c r="T161" i="1"/>
  <c r="N161" i="1"/>
  <c r="J161" i="1"/>
  <c r="V161" i="1"/>
  <c r="L161" i="1"/>
  <c r="L386" i="1"/>
  <c r="T386" i="1"/>
  <c r="N386" i="1"/>
  <c r="R386" i="1"/>
  <c r="J386" i="1"/>
  <c r="O462" i="1"/>
  <c r="HC20" i="33"/>
  <c r="DQ39" i="1"/>
  <c r="DQ79" i="1"/>
  <c r="DP113" i="1"/>
  <c r="DQ234" i="1"/>
  <c r="DP236" i="1"/>
  <c r="DQ398" i="1"/>
  <c r="DP426" i="1"/>
  <c r="DQ458" i="1"/>
  <c r="L483" i="1"/>
  <c r="DQ488" i="1"/>
  <c r="DP506" i="1"/>
  <c r="O403" i="1"/>
  <c r="O252" i="1"/>
  <c r="O254" i="1" s="1"/>
  <c r="O223" i="1"/>
  <c r="O224" i="1" s="1"/>
  <c r="D15" i="3" s="1"/>
  <c r="R445" i="1"/>
  <c r="Q448" i="1" s="1"/>
  <c r="DQ21" i="1"/>
  <c r="DQ36" i="1"/>
  <c r="DQ98" i="1"/>
  <c r="DP326" i="1"/>
  <c r="DP368" i="1"/>
  <c r="DQ384" i="1"/>
  <c r="DQ386" i="1"/>
  <c r="J259" i="1"/>
  <c r="O418" i="1"/>
  <c r="O283" i="1"/>
  <c r="O238" i="1"/>
  <c r="O132" i="1"/>
  <c r="V93" i="1"/>
  <c r="T3" i="1"/>
  <c r="DP38" i="1"/>
  <c r="DQ109" i="1"/>
  <c r="DQ213" i="1"/>
  <c r="F223" i="1"/>
  <c r="DP246" i="1"/>
  <c r="DP251" i="1"/>
  <c r="DP274" i="1"/>
  <c r="DQ290" i="1"/>
  <c r="DP441" i="1"/>
  <c r="DQ455" i="1"/>
  <c r="O312" i="1"/>
  <c r="O298" i="1"/>
  <c r="O447" i="1"/>
  <c r="O417" i="1"/>
  <c r="O163" i="1"/>
  <c r="J26" i="1"/>
  <c r="DQ142" i="1"/>
  <c r="F148" i="1"/>
  <c r="DP229" i="1"/>
  <c r="DQ262" i="1"/>
  <c r="DQ461" i="1"/>
  <c r="DQ487" i="1"/>
  <c r="DQ489" i="1"/>
  <c r="DP504" i="1"/>
  <c r="O478" i="1"/>
  <c r="O463" i="1"/>
  <c r="O177" i="1"/>
  <c r="O43" i="1"/>
  <c r="DQ19" i="1"/>
  <c r="DP108" i="1"/>
  <c r="DP157" i="1"/>
  <c r="DP159" i="1"/>
  <c r="DP169" i="1"/>
  <c r="DP173" i="1"/>
  <c r="DP201" i="1"/>
  <c r="DQ206" i="1"/>
  <c r="DQ219" i="1"/>
  <c r="DP385" i="1"/>
  <c r="DP443" i="1"/>
  <c r="DP454" i="1"/>
  <c r="O492" i="1"/>
  <c r="O494" i="1" s="1"/>
  <c r="O343" i="1"/>
  <c r="O57" i="1"/>
  <c r="J445" i="1"/>
  <c r="I448" i="1" s="1"/>
  <c r="DP6" i="1"/>
  <c r="DP83" i="1"/>
  <c r="DQ127" i="1"/>
  <c r="DP168" i="1"/>
  <c r="DP275" i="1"/>
  <c r="DP303" i="1"/>
  <c r="DP324" i="1"/>
  <c r="DP367" i="1"/>
  <c r="DQ483" i="1"/>
  <c r="O327" i="1"/>
  <c r="V175" i="1"/>
  <c r="U192" i="1"/>
  <c r="U194" i="1" s="1"/>
  <c r="V234" i="1"/>
  <c r="N243" i="1"/>
  <c r="N277" i="1"/>
  <c r="M418" i="1"/>
  <c r="L243" i="1"/>
  <c r="L277" i="1"/>
  <c r="I148" i="1"/>
  <c r="J234" i="1"/>
  <c r="I312" i="1"/>
  <c r="Q328" i="1"/>
  <c r="N306" i="1"/>
  <c r="L175" i="1"/>
  <c r="L289" i="1"/>
  <c r="T290" i="1"/>
  <c r="Q192" i="1"/>
  <c r="J175" i="1"/>
  <c r="U417" i="1"/>
  <c r="M193" i="1"/>
  <c r="I283" i="1"/>
  <c r="T289" i="1"/>
  <c r="U297" i="1"/>
  <c r="I343" i="1"/>
  <c r="U267" i="1"/>
  <c r="U298" i="1"/>
  <c r="V340" i="1"/>
  <c r="T126" i="1"/>
  <c r="L126" i="1"/>
  <c r="R126" i="1"/>
  <c r="CF363" i="1"/>
  <c r="CL363" i="1"/>
  <c r="J23" i="1"/>
  <c r="T23" i="1"/>
  <c r="L23" i="1"/>
  <c r="N50" i="1"/>
  <c r="M58" i="1" s="1"/>
  <c r="DQ243" i="1"/>
  <c r="DP243" i="1"/>
  <c r="V384" i="1"/>
  <c r="T326" i="1"/>
  <c r="DQ157" i="1"/>
  <c r="N93" i="1"/>
  <c r="DQ146" i="1"/>
  <c r="T113" i="1"/>
  <c r="L113" i="1"/>
  <c r="DQ189" i="1"/>
  <c r="DQ221" i="1"/>
  <c r="J384" i="1"/>
  <c r="R50" i="1"/>
  <c r="N23" i="1"/>
  <c r="T65" i="1"/>
  <c r="J65" i="1"/>
  <c r="N65" i="1"/>
  <c r="V65" i="1"/>
  <c r="L65" i="1"/>
  <c r="J21" i="1"/>
  <c r="L21" i="1"/>
  <c r="R21" i="1"/>
  <c r="V21" i="1"/>
  <c r="T21" i="1"/>
  <c r="J187" i="1"/>
  <c r="T235" i="1"/>
  <c r="J235" i="1"/>
  <c r="O358" i="1"/>
  <c r="CJ198" i="1"/>
  <c r="V23" i="1"/>
  <c r="L445" i="1"/>
  <c r="R23" i="1"/>
  <c r="J431" i="1"/>
  <c r="J349" i="1"/>
  <c r="DQ18" i="1"/>
  <c r="DP18" i="1"/>
  <c r="DQ83" i="1"/>
  <c r="O372" i="1"/>
  <c r="O373" i="1"/>
  <c r="L35" i="1"/>
  <c r="J50" i="1"/>
  <c r="N397" i="1"/>
  <c r="R397" i="1"/>
  <c r="T397" i="1"/>
  <c r="V397" i="1"/>
  <c r="O388" i="1"/>
  <c r="O387" i="1"/>
  <c r="CP198" i="1"/>
  <c r="CV198" i="1"/>
  <c r="T93" i="1"/>
  <c r="R431" i="1"/>
  <c r="J24" i="1"/>
  <c r="R24" i="1"/>
  <c r="V78" i="1"/>
  <c r="L78" i="1"/>
  <c r="T78" i="1"/>
  <c r="V35" i="1"/>
  <c r="T35" i="1"/>
  <c r="R95" i="1"/>
  <c r="DQ3" i="1"/>
  <c r="L24" i="1"/>
  <c r="DQ38" i="1"/>
  <c r="DQ168" i="1"/>
  <c r="DQ186" i="1"/>
  <c r="O344" i="1"/>
  <c r="O268" i="1"/>
  <c r="O267" i="1"/>
  <c r="O192" i="1"/>
  <c r="T146" i="1"/>
  <c r="S148" i="1" s="1"/>
  <c r="T20" i="1"/>
  <c r="DP82" i="1"/>
  <c r="DQ95" i="1"/>
  <c r="T96" i="1"/>
  <c r="DQ159" i="1"/>
  <c r="F73" i="1"/>
  <c r="F178" i="1"/>
  <c r="DP215" i="1"/>
  <c r="DQ307" i="1"/>
  <c r="DQ368" i="1"/>
  <c r="DQ378" i="1"/>
  <c r="DQ409" i="1"/>
  <c r="O479" i="1"/>
  <c r="O148" i="1"/>
  <c r="O147" i="1"/>
  <c r="O72" i="1"/>
  <c r="O448" i="1"/>
  <c r="O357" i="1"/>
  <c r="O28" i="1"/>
  <c r="O27" i="1"/>
  <c r="J19" i="1"/>
  <c r="DQ20" i="1"/>
  <c r="DQ66" i="1"/>
  <c r="DP67" i="1"/>
  <c r="DP68" i="1"/>
  <c r="DQ100" i="1"/>
  <c r="DP128" i="1"/>
  <c r="DP154" i="1"/>
  <c r="DQ155" i="1"/>
  <c r="DQ170" i="1"/>
  <c r="DP187" i="1"/>
  <c r="DQ191" i="1"/>
  <c r="F28" i="1"/>
  <c r="F88" i="1"/>
  <c r="F193" i="1"/>
  <c r="DP231" i="1"/>
  <c r="DP260" i="1"/>
  <c r="DP363" i="1"/>
  <c r="L324" i="1"/>
  <c r="K328" i="1" s="1"/>
  <c r="O402" i="1"/>
  <c r="O328" i="1"/>
  <c r="O297" i="1"/>
  <c r="O237" i="1"/>
  <c r="O207" i="1"/>
  <c r="O133" i="1"/>
  <c r="O117" i="1"/>
  <c r="O103" i="1"/>
  <c r="O104" i="1" s="1"/>
  <c r="N168" i="1"/>
  <c r="V365" i="1"/>
  <c r="T365" i="1"/>
  <c r="O282" i="1"/>
  <c r="O178" i="1"/>
  <c r="O87" i="1"/>
  <c r="O13" i="1"/>
  <c r="P13" i="1" s="1"/>
  <c r="DP5" i="1"/>
  <c r="DP26" i="1"/>
  <c r="DP39" i="1"/>
  <c r="DQ54" i="1"/>
  <c r="T82" i="1"/>
  <c r="DQ93" i="1"/>
  <c r="DQ112" i="1"/>
  <c r="DP115" i="1"/>
  <c r="DP142" i="1"/>
  <c r="DQ190" i="1"/>
  <c r="F43" i="1"/>
  <c r="DQ216" i="1"/>
  <c r="DQ336" i="1"/>
  <c r="O162" i="1"/>
  <c r="O58" i="1"/>
  <c r="O42" i="1"/>
  <c r="T24" i="1"/>
  <c r="DP33" i="1"/>
  <c r="DQ53" i="1"/>
  <c r="J355" i="1"/>
  <c r="O508" i="1"/>
  <c r="O507" i="1"/>
  <c r="O432" i="1"/>
  <c r="DP429" i="1"/>
  <c r="DP476" i="1"/>
  <c r="DP483" i="1"/>
  <c r="DQ381" i="1"/>
  <c r="DP414" i="1"/>
  <c r="DP487" i="1"/>
  <c r="L489" i="1"/>
  <c r="V491" i="1"/>
  <c r="V203" i="1"/>
  <c r="R230" i="1"/>
  <c r="L235" i="1"/>
  <c r="O208" i="1"/>
  <c r="DP277" i="1"/>
  <c r="DP279" i="1"/>
  <c r="DP322" i="1"/>
  <c r="DQ325" i="1"/>
  <c r="DP333" i="1"/>
  <c r="DQ335" i="1"/>
  <c r="DP411" i="1"/>
  <c r="DP442" i="1"/>
  <c r="DQ446" i="1"/>
  <c r="DP475" i="1"/>
  <c r="DP486" i="1"/>
  <c r="O118" i="1"/>
  <c r="O433" i="1"/>
  <c r="O313" i="1"/>
  <c r="O193" i="1"/>
  <c r="O73" i="1"/>
  <c r="DQ276" i="1"/>
  <c r="DP289" i="1"/>
  <c r="DQ371" i="1"/>
  <c r="F388" i="1"/>
  <c r="DP440" i="1"/>
  <c r="N444" i="1"/>
  <c r="V470" i="1"/>
  <c r="L236" i="1"/>
  <c r="DQ266" i="1"/>
  <c r="DQ280" i="1"/>
  <c r="DP318" i="1"/>
  <c r="DP399" i="1"/>
  <c r="DQ490" i="1"/>
  <c r="R218" i="1"/>
  <c r="M147" i="1"/>
  <c r="M148" i="1"/>
  <c r="M417" i="1"/>
  <c r="S417" i="1"/>
  <c r="S419" i="1" s="1"/>
  <c r="U418" i="1"/>
  <c r="Q283" i="1"/>
  <c r="Q418" i="1"/>
  <c r="U268" i="1"/>
  <c r="Q268" i="1"/>
  <c r="Q269" i="1" s="1"/>
  <c r="S313" i="1"/>
  <c r="S147" i="1"/>
  <c r="L290" i="1"/>
  <c r="I147" i="1"/>
  <c r="S312" i="1"/>
  <c r="FW27" i="33"/>
  <c r="FX27" i="33" s="1"/>
  <c r="EK7" i="33"/>
  <c r="EL7" i="33" s="1"/>
  <c r="EG7" i="33"/>
  <c r="IO36" i="33"/>
  <c r="CQ483" i="1"/>
  <c r="CS36" i="33"/>
  <c r="CK348" i="1"/>
  <c r="KZ17" i="33"/>
  <c r="LA17" i="33" s="1"/>
  <c r="KV17" i="33"/>
  <c r="R352" i="1"/>
  <c r="L352" i="1"/>
  <c r="R458" i="1"/>
  <c r="Q463" i="1" s="1"/>
  <c r="N458" i="1"/>
  <c r="M463" i="1" s="1"/>
  <c r="T458" i="1"/>
  <c r="S463" i="1" s="1"/>
  <c r="V458" i="1"/>
  <c r="R384" i="1"/>
  <c r="L410" i="1"/>
  <c r="J410" i="1"/>
  <c r="T4" i="1"/>
  <c r="J232" i="1"/>
  <c r="L441" i="1"/>
  <c r="K448" i="1" s="1"/>
  <c r="BR63" i="1"/>
  <c r="J352" i="1"/>
  <c r="L371" i="1"/>
  <c r="N439" i="1"/>
  <c r="T439" i="1"/>
  <c r="J99" i="1"/>
  <c r="V99" i="1"/>
  <c r="L99" i="1"/>
  <c r="N99" i="1"/>
  <c r="T99" i="1"/>
  <c r="V109" i="1"/>
  <c r="DQ116" i="1"/>
  <c r="DP116" i="1"/>
  <c r="DP174" i="1"/>
  <c r="DQ174" i="1"/>
  <c r="J199" i="1"/>
  <c r="N199" i="1"/>
  <c r="T199" i="1"/>
  <c r="DQ200" i="1"/>
  <c r="DP200" i="1"/>
  <c r="T264" i="1"/>
  <c r="S268" i="1" s="1"/>
  <c r="N264" i="1"/>
  <c r="M268" i="1" s="1"/>
  <c r="L54" i="1"/>
  <c r="K58" i="1" s="1"/>
  <c r="T54" i="1"/>
  <c r="S58" i="1" s="1"/>
  <c r="R54" i="1"/>
  <c r="V54" i="1"/>
  <c r="U58" i="1" s="1"/>
  <c r="DP10" i="1"/>
  <c r="DP40" i="1"/>
  <c r="DQ40" i="1"/>
  <c r="R53" i="1"/>
  <c r="J128" i="1"/>
  <c r="I133" i="1" s="1"/>
  <c r="L71" i="1"/>
  <c r="V71" i="1"/>
  <c r="N114" i="1"/>
  <c r="F29" i="1"/>
  <c r="F44" i="1" s="1"/>
  <c r="F59" i="1" s="1"/>
  <c r="J85" i="1"/>
  <c r="V26" i="1"/>
  <c r="R6" i="1"/>
  <c r="DQ25" i="1"/>
  <c r="DP25" i="1"/>
  <c r="V349" i="1"/>
  <c r="DQ233" i="1"/>
  <c r="DP233" i="1"/>
  <c r="DP334" i="1"/>
  <c r="DQ334" i="1"/>
  <c r="DQ218" i="1"/>
  <c r="DP218" i="1"/>
  <c r="N348" i="1"/>
  <c r="V79" i="1"/>
  <c r="T213" i="1"/>
  <c r="DQ215" i="1"/>
  <c r="DP409" i="1"/>
  <c r="DQ429" i="1"/>
  <c r="DQ484" i="1"/>
  <c r="DP484" i="1"/>
  <c r="DQ491" i="1"/>
  <c r="DP491" i="1"/>
  <c r="DQ471" i="1"/>
  <c r="DQ230" i="1"/>
  <c r="DQ244" i="1"/>
  <c r="DQ281" i="1"/>
  <c r="R293" i="1"/>
  <c r="Q297" i="1" s="1"/>
  <c r="L293" i="1"/>
  <c r="DQ308" i="1"/>
  <c r="DQ414" i="1"/>
  <c r="DQ428" i="1"/>
  <c r="J154" i="1"/>
  <c r="J37" i="1"/>
  <c r="F103" i="1"/>
  <c r="DQ229" i="1"/>
  <c r="DQ235" i="1"/>
  <c r="DQ379" i="1"/>
  <c r="DQ401" i="1"/>
  <c r="DQ460" i="1"/>
  <c r="DP460" i="1"/>
  <c r="R172" i="1"/>
  <c r="T228" i="1"/>
  <c r="T123" i="1"/>
  <c r="T476" i="1"/>
  <c r="S478" i="1" s="1"/>
  <c r="R476" i="1"/>
  <c r="Q478" i="1" s="1"/>
  <c r="J476" i="1"/>
  <c r="I478" i="1" s="1"/>
  <c r="L476" i="1"/>
  <c r="DQ188" i="1"/>
  <c r="DQ201" i="1"/>
  <c r="F118" i="1"/>
  <c r="DQ247" i="1"/>
  <c r="DQ424" i="1"/>
  <c r="N483" i="1"/>
  <c r="N487" i="1"/>
  <c r="DP490" i="1"/>
  <c r="J503" i="1"/>
  <c r="V236" i="1"/>
  <c r="L458" i="1"/>
  <c r="K463" i="1" s="1"/>
  <c r="T322" i="1"/>
  <c r="DP364" i="1"/>
  <c r="J487" i="1"/>
  <c r="T487" i="1"/>
  <c r="L369" i="1"/>
  <c r="K373" i="1" s="1"/>
  <c r="T483" i="1"/>
  <c r="DQ503" i="1"/>
  <c r="V487" i="1"/>
  <c r="T503" i="1"/>
  <c r="J483" i="1"/>
  <c r="DQ501" i="1"/>
  <c r="V503" i="1"/>
  <c r="J491" i="1"/>
  <c r="DQ506" i="1"/>
  <c r="JH8" i="33"/>
  <c r="IP33" i="33"/>
  <c r="GK11" i="33"/>
  <c r="AO41" i="33"/>
  <c r="GK20" i="33"/>
  <c r="GK18" i="33"/>
  <c r="GK9" i="33"/>
  <c r="A53" i="33"/>
  <c r="GJ20" i="33"/>
  <c r="GJ19" i="33"/>
  <c r="GK15" i="33"/>
  <c r="GK14" i="33"/>
  <c r="GL14" i="33" s="1"/>
  <c r="GJ17" i="33"/>
  <c r="C501" i="1"/>
  <c r="CI243" i="1"/>
  <c r="CJ243" i="1" s="1"/>
  <c r="CC243" i="1"/>
  <c r="CD243" i="1" s="1"/>
  <c r="CF33" i="1"/>
  <c r="C294" i="1"/>
  <c r="BZ33" i="1"/>
  <c r="EX7" i="33"/>
  <c r="FD7" i="33" s="1"/>
  <c r="FE7" i="33" s="1"/>
  <c r="IO7" i="33"/>
  <c r="E308" i="1"/>
  <c r="CQ48" i="1"/>
  <c r="CS48" i="1" s="1"/>
  <c r="C308" i="1"/>
  <c r="CU48" i="1"/>
  <c r="BK48" i="1"/>
  <c r="E324" i="1"/>
  <c r="B8" i="33"/>
  <c r="C323" i="1"/>
  <c r="GJ25" i="33" s="1"/>
  <c r="CT8" i="33"/>
  <c r="DD63" i="1"/>
  <c r="E337" i="1"/>
  <c r="C337" i="1"/>
  <c r="CU78" i="1"/>
  <c r="CT9" i="33"/>
  <c r="C9" i="33"/>
  <c r="D9" i="33" s="1"/>
  <c r="BD93" i="1"/>
  <c r="DC93" i="1"/>
  <c r="DE93" i="1" s="1"/>
  <c r="BS93" i="1"/>
  <c r="BU93" i="1" s="1"/>
  <c r="CS10" i="33"/>
  <c r="BM93" i="1"/>
  <c r="BO93" i="1" s="1"/>
  <c r="CZ93" i="1"/>
  <c r="DB93" i="1" s="1"/>
  <c r="E352" i="1"/>
  <c r="CN93" i="1"/>
  <c r="CP93" i="1" s="1"/>
  <c r="C365" i="1"/>
  <c r="CT11" i="33"/>
  <c r="BQ108" i="1"/>
  <c r="CO108" i="1"/>
  <c r="CP108" i="1" s="1"/>
  <c r="BW108" i="1"/>
  <c r="E381" i="1"/>
  <c r="CN123" i="1"/>
  <c r="CW123" i="1"/>
  <c r="CY123" i="1" s="1"/>
  <c r="C380" i="1"/>
  <c r="CW378" i="1" s="1"/>
  <c r="BN123" i="1"/>
  <c r="BZ123" i="1"/>
  <c r="CA123" i="1" s="1"/>
  <c r="CT12" i="33"/>
  <c r="BE123" i="1"/>
  <c r="BF123" i="1" s="1"/>
  <c r="E395" i="1"/>
  <c r="BD138" i="1"/>
  <c r="CK138" i="1"/>
  <c r="CS13" i="33"/>
  <c r="C394" i="1"/>
  <c r="CX138" i="1"/>
  <c r="CY138" i="1" s="1"/>
  <c r="CU138" i="1"/>
  <c r="CV138" i="1" s="1"/>
  <c r="CR138" i="1"/>
  <c r="CS138" i="1" s="1"/>
  <c r="BW138" i="1"/>
  <c r="BX138" i="1" s="1"/>
  <c r="CO138" i="1"/>
  <c r="CQ153" i="1"/>
  <c r="CS153" i="1" s="1"/>
  <c r="BS153" i="1"/>
  <c r="CN153" i="1"/>
  <c r="CP153" i="1" s="1"/>
  <c r="CW153" i="1"/>
  <c r="CS14" i="33"/>
  <c r="CF153" i="1"/>
  <c r="CG153" i="1" s="1"/>
  <c r="CL153" i="1"/>
  <c r="CM153" i="1" s="1"/>
  <c r="BK153" i="1"/>
  <c r="BL153" i="1" s="1"/>
  <c r="IP14" i="33"/>
  <c r="BW153" i="1"/>
  <c r="EY14" i="33"/>
  <c r="EZ14" i="33" s="1"/>
  <c r="CT14" i="33"/>
  <c r="C408" i="1"/>
  <c r="HC31" i="33" s="1"/>
  <c r="C430" i="1"/>
  <c r="BY423" i="1" s="1"/>
  <c r="CX168" i="1"/>
  <c r="BZ168" i="1"/>
  <c r="CA168" i="1" s="1"/>
  <c r="CU168" i="1"/>
  <c r="CV168" i="1" s="1"/>
  <c r="BP183" i="1"/>
  <c r="E444" i="1"/>
  <c r="BQ438" i="1" s="1"/>
  <c r="CF183" i="1"/>
  <c r="CT16" i="33"/>
  <c r="BE183" i="1"/>
  <c r="BF183" i="1" s="1"/>
  <c r="BK183" i="1"/>
  <c r="E459" i="1"/>
  <c r="BD198" i="1"/>
  <c r="BF198" i="1" s="1"/>
  <c r="CS17" i="33"/>
  <c r="CL198" i="1"/>
  <c r="CX198" i="1"/>
  <c r="CY198" i="1" s="1"/>
  <c r="BN198" i="1"/>
  <c r="DD198" i="1"/>
  <c r="DE198" i="1" s="1"/>
  <c r="BM213" i="1"/>
  <c r="CK213" i="1"/>
  <c r="BP213" i="1"/>
  <c r="BR213" i="1" s="1"/>
  <c r="BG18" i="33"/>
  <c r="C473" i="1"/>
  <c r="CO213" i="1"/>
  <c r="BH213" i="1"/>
  <c r="CF213" i="1"/>
  <c r="CG213" i="1" s="1"/>
  <c r="CI213" i="1"/>
  <c r="CJ213" i="1" s="1"/>
  <c r="BW213" i="1"/>
  <c r="BX213" i="1" s="1"/>
  <c r="IP18" i="33"/>
  <c r="BD228" i="1"/>
  <c r="BF228" i="1" s="1"/>
  <c r="CS19" i="33"/>
  <c r="CY19" i="33" s="1"/>
  <c r="CZ19" i="33" s="1"/>
  <c r="CT19" i="33"/>
  <c r="CW243" i="1"/>
  <c r="CY243" i="1" s="1"/>
  <c r="C261" i="1"/>
  <c r="C276" i="1"/>
  <c r="LM2" i="33"/>
  <c r="LM4" i="33" s="1"/>
  <c r="S2" i="24"/>
  <c r="L2" i="24"/>
  <c r="A59" i="33"/>
  <c r="KT10" i="33"/>
  <c r="KZ10" i="33" s="1"/>
  <c r="LA10" i="33" s="1"/>
  <c r="E263" i="1"/>
  <c r="CS4" i="33"/>
  <c r="DM12" i="33"/>
  <c r="DL11" i="33"/>
  <c r="DL14" i="33"/>
  <c r="DM17" i="33"/>
  <c r="DN17" i="33" s="1"/>
  <c r="DL9" i="33"/>
  <c r="DL12" i="33"/>
  <c r="DL6" i="33"/>
  <c r="DM10" i="33"/>
  <c r="DL4" i="33"/>
  <c r="DL24" i="33"/>
  <c r="FQ9" i="33"/>
  <c r="FQ12" i="33"/>
  <c r="FW12" i="33" s="1"/>
  <c r="FX12" i="33" s="1"/>
  <c r="FR18" i="33"/>
  <c r="FR11" i="33"/>
  <c r="FS11" i="33" s="1"/>
  <c r="FR15" i="33"/>
  <c r="FR14" i="33"/>
  <c r="FR4" i="33"/>
  <c r="FQ15" i="33"/>
  <c r="FR6" i="33"/>
  <c r="FR16" i="33"/>
  <c r="FQ20" i="33"/>
  <c r="FQ5" i="33"/>
  <c r="FR12" i="33"/>
  <c r="FR13" i="33"/>
  <c r="FR9" i="33"/>
  <c r="FR19" i="33"/>
  <c r="FS19" i="33" s="1"/>
  <c r="FQ7" i="33"/>
  <c r="FQ18" i="33"/>
  <c r="FR8" i="33"/>
  <c r="AM41" i="33"/>
  <c r="FQ17" i="33"/>
  <c r="FR7" i="33"/>
  <c r="FR20" i="33"/>
  <c r="FQ16" i="33"/>
  <c r="FQ8" i="33"/>
  <c r="FQ14" i="33"/>
  <c r="FQ10" i="33"/>
  <c r="FW10" i="33" s="1"/>
  <c r="FX10" i="33" s="1"/>
  <c r="A52" i="33"/>
  <c r="BK453" i="1"/>
  <c r="LM15" i="33"/>
  <c r="LN5" i="33"/>
  <c r="LM12" i="33"/>
  <c r="LN6" i="33"/>
  <c r="LN14" i="33"/>
  <c r="LM18" i="33"/>
  <c r="LN12" i="33"/>
  <c r="BC41" i="33"/>
  <c r="LN9" i="33"/>
  <c r="LM9" i="33"/>
  <c r="LN15" i="33"/>
  <c r="IP6" i="33"/>
  <c r="IO5" i="33"/>
  <c r="AU41" i="33"/>
  <c r="IP35" i="33"/>
  <c r="IO8" i="33"/>
  <c r="IP25" i="33"/>
  <c r="IP15" i="33"/>
  <c r="IQ15" i="33" s="1"/>
  <c r="A56" i="33"/>
  <c r="IP20" i="33"/>
  <c r="IP19" i="33"/>
  <c r="IP12" i="33"/>
  <c r="IP8" i="33"/>
  <c r="IP11" i="33"/>
  <c r="CR318" i="1"/>
  <c r="HD17" i="33"/>
  <c r="C258" i="1"/>
  <c r="EY20" i="33"/>
  <c r="U2" i="33"/>
  <c r="CC153" i="1"/>
  <c r="CD153" i="1" s="1"/>
  <c r="BJ63" i="1"/>
  <c r="BL63" i="1" s="1"/>
  <c r="EX17" i="33"/>
  <c r="E408" i="1"/>
  <c r="I2" i="24"/>
  <c r="BP153" i="1"/>
  <c r="BD63" i="1"/>
  <c r="CQ63" i="1"/>
  <c r="HC7" i="33"/>
  <c r="DQ502" i="1"/>
  <c r="DP501" i="1"/>
  <c r="L503" i="1"/>
  <c r="DQ504" i="1"/>
  <c r="T499" i="1"/>
  <c r="J505" i="1"/>
  <c r="R500" i="1"/>
  <c r="V500" i="1"/>
  <c r="DQ50" i="1"/>
  <c r="DP50" i="1"/>
  <c r="I58" i="1"/>
  <c r="L216" i="1"/>
  <c r="N216" i="1"/>
  <c r="T216" i="1"/>
  <c r="J216" i="1"/>
  <c r="R216" i="1"/>
  <c r="V216" i="1"/>
  <c r="DQ505" i="1"/>
  <c r="DP505" i="1"/>
  <c r="R506" i="1"/>
  <c r="V505" i="1"/>
  <c r="T504" i="1"/>
  <c r="T502" i="1"/>
  <c r="DP502" i="1"/>
  <c r="J502" i="1"/>
  <c r="L500" i="1"/>
  <c r="J500" i="1"/>
  <c r="N500" i="1"/>
  <c r="T500" i="1"/>
  <c r="DQ499" i="1"/>
  <c r="DQ498" i="1"/>
  <c r="F508" i="1"/>
  <c r="DP498" i="1"/>
  <c r="L506" i="1"/>
  <c r="V506" i="1"/>
  <c r="J506" i="1"/>
  <c r="N506" i="1"/>
  <c r="T505" i="1"/>
  <c r="N505" i="1"/>
  <c r="R505" i="1"/>
  <c r="N503" i="1"/>
  <c r="R503" i="1"/>
  <c r="R502" i="1"/>
  <c r="N502" i="1"/>
  <c r="V501" i="1"/>
  <c r="N501" i="1"/>
  <c r="L501" i="1"/>
  <c r="DP500" i="1"/>
  <c r="L499" i="1"/>
  <c r="V499" i="1"/>
  <c r="N499" i="1"/>
  <c r="J499" i="1"/>
  <c r="R499" i="1"/>
  <c r="DP499" i="1"/>
  <c r="T498" i="1"/>
  <c r="L498" i="1"/>
  <c r="N498" i="1"/>
  <c r="V498" i="1"/>
  <c r="J498" i="1"/>
  <c r="R498" i="1"/>
  <c r="GP5" i="33"/>
  <c r="GQ5" i="33" s="1"/>
  <c r="BF243" i="1" l="1"/>
  <c r="ER20" i="33"/>
  <c r="EP20" i="33"/>
  <c r="CP243" i="1"/>
  <c r="BI228" i="1"/>
  <c r="BL228" i="1"/>
  <c r="KC19" i="33"/>
  <c r="BO228" i="1"/>
  <c r="KG19" i="33"/>
  <c r="KH19" i="33" s="1"/>
  <c r="DB228" i="1"/>
  <c r="CA36" i="33"/>
  <c r="BQ483" i="1"/>
  <c r="CP228" i="1"/>
  <c r="CS228" i="1"/>
  <c r="CY228" i="1"/>
  <c r="DE228" i="1"/>
  <c r="BL213" i="1"/>
  <c r="BU213" i="1"/>
  <c r="CM213" i="1"/>
  <c r="KV18" i="33"/>
  <c r="BI213" i="1"/>
  <c r="CP213" i="1"/>
  <c r="EZ18" i="33"/>
  <c r="BR198" i="1"/>
  <c r="CM198" i="1"/>
  <c r="BO198" i="1"/>
  <c r="CS198" i="1"/>
  <c r="BR183" i="1"/>
  <c r="HV33" i="33"/>
  <c r="DL33" i="33"/>
  <c r="BV438" i="1"/>
  <c r="CN438" i="1"/>
  <c r="CB438" i="1"/>
  <c r="CS183" i="1"/>
  <c r="CZ438" i="1"/>
  <c r="BX183" i="1"/>
  <c r="DL32" i="33"/>
  <c r="BD423" i="1"/>
  <c r="BV423" i="1"/>
  <c r="HV32" i="33"/>
  <c r="CN423" i="1"/>
  <c r="CQ423" i="1"/>
  <c r="KV15" i="33"/>
  <c r="BU168" i="1"/>
  <c r="DD423" i="1"/>
  <c r="BQ423" i="1"/>
  <c r="CA32" i="33"/>
  <c r="CY168" i="1"/>
  <c r="KZ15" i="33"/>
  <c r="LA15" i="33" s="1"/>
  <c r="AP14" i="33"/>
  <c r="BX153" i="1"/>
  <c r="DL30" i="33"/>
  <c r="CM138" i="1"/>
  <c r="BF138" i="1"/>
  <c r="BS393" i="1"/>
  <c r="KV13" i="33"/>
  <c r="CF393" i="1"/>
  <c r="FR30" i="33"/>
  <c r="KA29" i="33"/>
  <c r="CE378" i="1"/>
  <c r="FQ29" i="33"/>
  <c r="CB12" i="33"/>
  <c r="CV123" i="1"/>
  <c r="BQ378" i="1"/>
  <c r="CR378" i="1"/>
  <c r="CA29" i="33"/>
  <c r="AP12" i="33"/>
  <c r="CS108" i="1"/>
  <c r="EX28" i="33"/>
  <c r="CB363" i="1"/>
  <c r="BY363" i="1"/>
  <c r="EE28" i="33"/>
  <c r="BF108" i="1"/>
  <c r="HX11" i="33"/>
  <c r="FR28" i="33"/>
  <c r="BX108" i="1"/>
  <c r="EZ11" i="33"/>
  <c r="BR108" i="1"/>
  <c r="CG93" i="1"/>
  <c r="BX93" i="1"/>
  <c r="BS348" i="1"/>
  <c r="BF93" i="1"/>
  <c r="AN26" i="33"/>
  <c r="AT26" i="33" s="1"/>
  <c r="AU26" i="33" s="1"/>
  <c r="CM78" i="1"/>
  <c r="CB9" i="33"/>
  <c r="CH318" i="1"/>
  <c r="CK318" i="1"/>
  <c r="KT25" i="33"/>
  <c r="CZ318" i="1"/>
  <c r="BF63" i="1"/>
  <c r="DE63" i="1"/>
  <c r="CO318" i="1"/>
  <c r="HW25" i="33"/>
  <c r="BX48" i="1"/>
  <c r="CF7" i="33"/>
  <c r="CG7" i="33" s="1"/>
  <c r="BL48" i="1"/>
  <c r="JJ7" i="33"/>
  <c r="DB33" i="1"/>
  <c r="CM33" i="1"/>
  <c r="BF33" i="1"/>
  <c r="GL6" i="33"/>
  <c r="CD33" i="1"/>
  <c r="CG33" i="1"/>
  <c r="AP6" i="33"/>
  <c r="FS6" i="33"/>
  <c r="CA33" i="1"/>
  <c r="CJ33" i="1"/>
  <c r="KC6" i="33"/>
  <c r="CT273" i="1"/>
  <c r="BJ273" i="1"/>
  <c r="AN22" i="33"/>
  <c r="AT22" i="33" s="1"/>
  <c r="AU22" i="33" s="1"/>
  <c r="BO18" i="1"/>
  <c r="CP18" i="1"/>
  <c r="BX18" i="1"/>
  <c r="BU18" i="1"/>
  <c r="CO273" i="1"/>
  <c r="DD273" i="1"/>
  <c r="CT22" i="33"/>
  <c r="BQ273" i="1"/>
  <c r="CR273" i="1"/>
  <c r="C22" i="33"/>
  <c r="CL273" i="1"/>
  <c r="IP22" i="33"/>
  <c r="FR22" i="33"/>
  <c r="BT273" i="1"/>
  <c r="CC273" i="1"/>
  <c r="CU273" i="1"/>
  <c r="KU22" i="33"/>
  <c r="DA273" i="1"/>
  <c r="BN273" i="1"/>
  <c r="CA22" i="33"/>
  <c r="KC5" i="33"/>
  <c r="AT4" i="33"/>
  <c r="AU4" i="33" s="1"/>
  <c r="C21" i="33"/>
  <c r="CM3" i="1"/>
  <c r="CA138" i="1"/>
  <c r="KR9" i="33"/>
  <c r="KN86" i="33" s="1"/>
  <c r="KC9" i="33"/>
  <c r="KN9" i="33"/>
  <c r="IQ9" i="33"/>
  <c r="EZ5" i="33"/>
  <c r="KM9" i="33"/>
  <c r="BA41" i="33"/>
  <c r="KU10" i="33"/>
  <c r="KU12" i="33"/>
  <c r="KV12" i="33" s="1"/>
  <c r="KU16" i="33"/>
  <c r="KT33" i="33"/>
  <c r="AP16" i="33"/>
  <c r="DE183" i="1"/>
  <c r="CP3" i="1"/>
  <c r="CB6" i="33"/>
  <c r="FJ10" i="33"/>
  <c r="DE33" i="1"/>
  <c r="CP33" i="1"/>
  <c r="EZ10" i="33"/>
  <c r="CA198" i="1"/>
  <c r="DB198" i="1"/>
  <c r="CM183" i="1"/>
  <c r="CA183" i="1"/>
  <c r="FO10" i="33"/>
  <c r="FK87" i="33" s="1"/>
  <c r="CM123" i="1"/>
  <c r="CA153" i="1"/>
  <c r="CF12" i="33"/>
  <c r="CG12" i="33" s="1"/>
  <c r="KC20" i="33"/>
  <c r="D20" i="33"/>
  <c r="DE243" i="1"/>
  <c r="KC14" i="33"/>
  <c r="BL3" i="1"/>
  <c r="JJ9" i="33"/>
  <c r="AT19" i="33"/>
  <c r="AU19" i="33" s="1"/>
  <c r="DB18" i="1"/>
  <c r="BO138" i="1"/>
  <c r="GP4" i="33"/>
  <c r="GQ4" i="33" s="1"/>
  <c r="GV4" i="33" s="1"/>
  <c r="AP18" i="33"/>
  <c r="CM63" i="1"/>
  <c r="EE33" i="33"/>
  <c r="EK33" i="33" s="1"/>
  <c r="EL33" i="33" s="1"/>
  <c r="BP438" i="1"/>
  <c r="BR438" i="1" s="1"/>
  <c r="BJ438" i="1"/>
  <c r="CE438" i="1"/>
  <c r="KT35" i="33"/>
  <c r="CT438" i="1"/>
  <c r="GJ33" i="33"/>
  <c r="IO33" i="33"/>
  <c r="IU33" i="33" s="1"/>
  <c r="IV33" i="33" s="1"/>
  <c r="B33" i="33"/>
  <c r="H33" i="33" s="1"/>
  <c r="I33" i="33" s="1"/>
  <c r="BU183" i="1"/>
  <c r="HC33" i="33"/>
  <c r="CY183" i="1"/>
  <c r="CJ168" i="1"/>
  <c r="CV93" i="1"/>
  <c r="BD468" i="1"/>
  <c r="BF468" i="1" s="1"/>
  <c r="JH33" i="33"/>
  <c r="CQ438" i="1"/>
  <c r="CH438" i="1"/>
  <c r="KC4" i="33"/>
  <c r="CU8" i="33"/>
  <c r="CZ468" i="1"/>
  <c r="BG438" i="1"/>
  <c r="EX33" i="33"/>
  <c r="EZ33" i="33" s="1"/>
  <c r="FQ33" i="33"/>
  <c r="FW33" i="33" s="1"/>
  <c r="FX33" i="33" s="1"/>
  <c r="EZ20" i="33"/>
  <c r="IQ19" i="33"/>
  <c r="CU483" i="1"/>
  <c r="CK438" i="1"/>
  <c r="BM438" i="1"/>
  <c r="BD438" i="1"/>
  <c r="KC10" i="33"/>
  <c r="CS33" i="33"/>
  <c r="BU243" i="1"/>
  <c r="BI138" i="1"/>
  <c r="CG48" i="1"/>
  <c r="BO48" i="1"/>
  <c r="CJ48" i="1"/>
  <c r="BJ333" i="1"/>
  <c r="BG33" i="33"/>
  <c r="BM33" i="33" s="1"/>
  <c r="BN33" i="33" s="1"/>
  <c r="AP7" i="33"/>
  <c r="BU153" i="1"/>
  <c r="BG27" i="33"/>
  <c r="DN13" i="33"/>
  <c r="CY63" i="1"/>
  <c r="CG183" i="1"/>
  <c r="GL18" i="33"/>
  <c r="KV16" i="33"/>
  <c r="BL183" i="1"/>
  <c r="CV78" i="1"/>
  <c r="CA93" i="1"/>
  <c r="CB11" i="33"/>
  <c r="BR3" i="1"/>
  <c r="JJ18" i="33"/>
  <c r="BL138" i="1"/>
  <c r="DB63" i="1"/>
  <c r="BR153" i="1"/>
  <c r="CP138" i="1"/>
  <c r="BO123" i="1"/>
  <c r="CP123" i="1"/>
  <c r="CV48" i="1"/>
  <c r="BX198" i="1"/>
  <c r="DB243" i="1"/>
  <c r="CA213" i="1"/>
  <c r="CS63" i="1"/>
  <c r="CB20" i="33"/>
  <c r="BO213" i="1"/>
  <c r="BO3" i="1"/>
  <c r="CM168" i="1"/>
  <c r="BO78" i="1"/>
  <c r="BF168" i="1"/>
  <c r="BO108" i="1"/>
  <c r="CS78" i="1"/>
  <c r="BO168" i="1"/>
  <c r="DE78" i="1"/>
  <c r="BF213" i="1"/>
  <c r="BU78" i="1"/>
  <c r="CA21" i="33"/>
  <c r="CS18" i="1"/>
  <c r="DM11" i="33"/>
  <c r="DN11" i="33" s="1"/>
  <c r="DL10" i="33"/>
  <c r="AG41" i="33"/>
  <c r="A49" i="33"/>
  <c r="DL19" i="33"/>
  <c r="DM9" i="33"/>
  <c r="DL26" i="33"/>
  <c r="CQ303" i="1"/>
  <c r="CV3" i="1"/>
  <c r="CM18" i="1"/>
  <c r="GP9" i="33"/>
  <c r="GQ9" i="33" s="1"/>
  <c r="GL9" i="33"/>
  <c r="CF333" i="1"/>
  <c r="BT333" i="1"/>
  <c r="BH333" i="1"/>
  <c r="FR26" i="33"/>
  <c r="DD333" i="1"/>
  <c r="BY333" i="1"/>
  <c r="CQ333" i="1"/>
  <c r="EE26" i="33"/>
  <c r="BV333" i="1"/>
  <c r="KG29" i="33"/>
  <c r="KH29" i="33" s="1"/>
  <c r="KC29" i="33"/>
  <c r="BQ258" i="1"/>
  <c r="FI10" i="33"/>
  <c r="FP10" i="33"/>
  <c r="FM87" i="33" s="1"/>
  <c r="JI20" i="33"/>
  <c r="JJ20" i="33" s="1"/>
  <c r="JI5" i="33"/>
  <c r="JH5" i="33"/>
  <c r="JH10" i="33"/>
  <c r="JH11" i="33"/>
  <c r="JH22" i="33"/>
  <c r="A57" i="33"/>
  <c r="JI28" i="33"/>
  <c r="AW41" i="33"/>
  <c r="HX15" i="33"/>
  <c r="DB48" i="1"/>
  <c r="CF15" i="33"/>
  <c r="CG15" i="33" s="1"/>
  <c r="CB15" i="33"/>
  <c r="BI33" i="1"/>
  <c r="AT15" i="33"/>
  <c r="AU15" i="33" s="1"/>
  <c r="AP15" i="33"/>
  <c r="AT17" i="33"/>
  <c r="AU17" i="33" s="1"/>
  <c r="AP17" i="33"/>
  <c r="BO183" i="1"/>
  <c r="CD183" i="1"/>
  <c r="FD19" i="33"/>
  <c r="FE19" i="33" s="1"/>
  <c r="EZ19" i="33"/>
  <c r="AT5" i="33"/>
  <c r="AU5" i="33" s="1"/>
  <c r="AP5" i="33"/>
  <c r="CF19" i="33"/>
  <c r="CG19" i="33" s="1"/>
  <c r="CB19" i="33"/>
  <c r="CJ183" i="1"/>
  <c r="AP20" i="33"/>
  <c r="IB18" i="33"/>
  <c r="IC18" i="33" s="1"/>
  <c r="HX18" i="33"/>
  <c r="DR18" i="33"/>
  <c r="DS18" i="33" s="1"/>
  <c r="DN18" i="33"/>
  <c r="EK18" i="33"/>
  <c r="EL18" i="33" s="1"/>
  <c r="EG18" i="33"/>
  <c r="KG7" i="33"/>
  <c r="KH7" i="33" s="1"/>
  <c r="KC7" i="33"/>
  <c r="GP7" i="33"/>
  <c r="GQ7" i="33" s="1"/>
  <c r="GL7" i="33"/>
  <c r="BL198" i="1"/>
  <c r="EG10" i="33"/>
  <c r="EK10" i="33"/>
  <c r="EL10" i="33" s="1"/>
  <c r="AO21" i="33"/>
  <c r="CA18" i="1"/>
  <c r="GL10" i="33"/>
  <c r="C7" i="33"/>
  <c r="A43" i="33"/>
  <c r="U41" i="33"/>
  <c r="B16" i="33"/>
  <c r="C12" i="33"/>
  <c r="B10" i="33"/>
  <c r="B17" i="33"/>
  <c r="B18" i="33"/>
  <c r="B4" i="33"/>
  <c r="C13" i="33"/>
  <c r="C16" i="33"/>
  <c r="B19" i="33"/>
  <c r="C11" i="33"/>
  <c r="D11" i="33" s="1"/>
  <c r="B13" i="33"/>
  <c r="DB78" i="1"/>
  <c r="LN17" i="33"/>
  <c r="CA3" i="1"/>
  <c r="EK17" i="33"/>
  <c r="EL17" i="33" s="1"/>
  <c r="EG17" i="33"/>
  <c r="JJ16" i="33"/>
  <c r="JN16" i="33"/>
  <c r="JO16" i="33" s="1"/>
  <c r="DR15" i="33"/>
  <c r="DS15" i="33" s="1"/>
  <c r="DN15" i="33"/>
  <c r="EK16" i="33"/>
  <c r="EL16" i="33" s="1"/>
  <c r="EG16" i="33"/>
  <c r="DR7" i="33"/>
  <c r="DS7" i="33" s="1"/>
  <c r="DN7" i="33"/>
  <c r="EX22" i="33"/>
  <c r="CB273" i="1"/>
  <c r="BU228" i="1"/>
  <c r="AO30" i="33"/>
  <c r="CT24" i="33"/>
  <c r="EG9" i="33"/>
  <c r="EK9" i="33"/>
  <c r="EL9" i="33" s="1"/>
  <c r="EG5" i="33"/>
  <c r="EK5" i="33"/>
  <c r="EL5" i="33" s="1"/>
  <c r="JJ19" i="33"/>
  <c r="JN19" i="33"/>
  <c r="JO19" i="33" s="1"/>
  <c r="DR20" i="33"/>
  <c r="DS20" i="33" s="1"/>
  <c r="DN20" i="33"/>
  <c r="EX35" i="33"/>
  <c r="B35" i="33"/>
  <c r="CB468" i="1"/>
  <c r="CD468" i="1" s="1"/>
  <c r="CT468" i="1"/>
  <c r="CV468" i="1" s="1"/>
  <c r="BJ468" i="1"/>
  <c r="BL468" i="1" s="1"/>
  <c r="JH35" i="33"/>
  <c r="AN35" i="33"/>
  <c r="JN17" i="33"/>
  <c r="JO17" i="33" s="1"/>
  <c r="JJ17" i="33"/>
  <c r="BI198" i="1"/>
  <c r="CW438" i="1"/>
  <c r="BS438" i="1"/>
  <c r="KA33" i="33"/>
  <c r="DC438" i="1"/>
  <c r="BY438" i="1"/>
  <c r="AN33" i="33"/>
  <c r="EK14" i="33"/>
  <c r="EL14" i="33" s="1"/>
  <c r="EG14" i="33"/>
  <c r="IB14" i="33"/>
  <c r="IC14" i="33" s="1"/>
  <c r="HX14" i="33"/>
  <c r="IB12" i="33"/>
  <c r="IC12" i="33" s="1"/>
  <c r="HX12" i="33"/>
  <c r="DN8" i="33"/>
  <c r="DR8" i="33"/>
  <c r="DS8" i="33" s="1"/>
  <c r="EK6" i="33"/>
  <c r="EL6" i="33" s="1"/>
  <c r="EG6" i="33"/>
  <c r="KZ6" i="33"/>
  <c r="LA6" i="33" s="1"/>
  <c r="KV6" i="33"/>
  <c r="BR18" i="1"/>
  <c r="IB19" i="33"/>
  <c r="IC19" i="33" s="1"/>
  <c r="HX19" i="33"/>
  <c r="CV228" i="1"/>
  <c r="KG13" i="33"/>
  <c r="KH13" i="33" s="1"/>
  <c r="KC13" i="33"/>
  <c r="LN8" i="33"/>
  <c r="FR24" i="33"/>
  <c r="BG483" i="1"/>
  <c r="CW483" i="1"/>
  <c r="BY483" i="1"/>
  <c r="EE36" i="33"/>
  <c r="HV36" i="33"/>
  <c r="CK483" i="1"/>
  <c r="CN483" i="1"/>
  <c r="DE123" i="1"/>
  <c r="GP12" i="33"/>
  <c r="GQ12" i="33" s="1"/>
  <c r="GL12" i="33"/>
  <c r="DC348" i="1"/>
  <c r="BV348" i="1"/>
  <c r="BJ348" i="1"/>
  <c r="BG348" i="1"/>
  <c r="KZ9" i="33"/>
  <c r="LA9" i="33" s="1"/>
  <c r="KV9" i="33"/>
  <c r="GP8" i="33"/>
  <c r="GQ8" i="33" s="1"/>
  <c r="GL8" i="33"/>
  <c r="EK13" i="33"/>
  <c r="EL13" i="33" s="1"/>
  <c r="EG13" i="33"/>
  <c r="GL13" i="33"/>
  <c r="GP13" i="33"/>
  <c r="GQ13" i="33" s="1"/>
  <c r="CJ138" i="1"/>
  <c r="IB17" i="33"/>
  <c r="IC17" i="33" s="1"/>
  <c r="HX17" i="33"/>
  <c r="DR16" i="33"/>
  <c r="DS16" i="33" s="1"/>
  <c r="DN16" i="33"/>
  <c r="D12" i="33"/>
  <c r="H12" i="33"/>
  <c r="I12" i="33" s="1"/>
  <c r="IB9" i="33"/>
  <c r="IC9" i="33" s="1"/>
  <c r="HX9" i="33"/>
  <c r="BK318" i="1"/>
  <c r="BQ318" i="1"/>
  <c r="AO25" i="33"/>
  <c r="BW318" i="1"/>
  <c r="DM25" i="33"/>
  <c r="EY25" i="33"/>
  <c r="CA25" i="33"/>
  <c r="CJ18" i="1"/>
  <c r="DR5" i="33"/>
  <c r="DS5" i="33" s="1"/>
  <c r="DN5" i="33"/>
  <c r="CF5" i="33"/>
  <c r="CG5" i="33" s="1"/>
  <c r="CB5" i="33"/>
  <c r="KV19" i="33"/>
  <c r="KZ19" i="33"/>
  <c r="LA19" i="33" s="1"/>
  <c r="JJ4" i="33"/>
  <c r="JN4" i="33"/>
  <c r="JO4" i="33" s="1"/>
  <c r="JN15" i="33"/>
  <c r="JO15" i="33" s="1"/>
  <c r="JJ15" i="33"/>
  <c r="AO34" i="33"/>
  <c r="FD15" i="33"/>
  <c r="FE15" i="33" s="1"/>
  <c r="EZ15" i="33"/>
  <c r="FD9" i="33"/>
  <c r="FE9" i="33" s="1"/>
  <c r="EZ9" i="33"/>
  <c r="BX63" i="1"/>
  <c r="JJ6" i="33"/>
  <c r="JN6" i="33"/>
  <c r="JO6" i="33" s="1"/>
  <c r="DE18" i="1"/>
  <c r="BR138" i="1"/>
  <c r="IO11" i="33"/>
  <c r="IU11" i="33" s="1"/>
  <c r="IV11" i="33" s="1"/>
  <c r="IO6" i="33"/>
  <c r="IU6" i="33" s="1"/>
  <c r="IV6" i="33" s="1"/>
  <c r="IO26" i="33"/>
  <c r="IP28" i="33"/>
  <c r="IP23" i="33"/>
  <c r="IP29" i="33"/>
  <c r="IO32" i="33"/>
  <c r="EK19" i="33"/>
  <c r="EL19" i="33" s="1"/>
  <c r="EG19" i="33"/>
  <c r="EG8" i="33"/>
  <c r="EK8" i="33"/>
  <c r="EL8" i="33" s="1"/>
  <c r="KZ20" i="33"/>
  <c r="LA20" i="33" s="1"/>
  <c r="KV20" i="33"/>
  <c r="CB16" i="33"/>
  <c r="CF16" i="33"/>
  <c r="CG16" i="33" s="1"/>
  <c r="KG16" i="33"/>
  <c r="KH16" i="33" s="1"/>
  <c r="KC16" i="33"/>
  <c r="EK15" i="33"/>
  <c r="EL15" i="33" s="1"/>
  <c r="EG15" i="33"/>
  <c r="CG168" i="1"/>
  <c r="CB14" i="33"/>
  <c r="CF14" i="33"/>
  <c r="CG14" i="33" s="1"/>
  <c r="EG11" i="33"/>
  <c r="EK11" i="33"/>
  <c r="EL11" i="33" s="1"/>
  <c r="KG11" i="33"/>
  <c r="KH11" i="33" s="1"/>
  <c r="KC11" i="33"/>
  <c r="KZ8" i="33"/>
  <c r="LA8" i="33" s="1"/>
  <c r="KV8" i="33"/>
  <c r="IB7" i="33"/>
  <c r="IC7" i="33" s="1"/>
  <c r="HX7" i="33"/>
  <c r="IB5" i="33"/>
  <c r="IC5" i="33" s="1"/>
  <c r="HX5" i="33"/>
  <c r="KM5" i="33"/>
  <c r="KS5" i="33"/>
  <c r="KP82" i="33" s="1"/>
  <c r="KL5" i="33"/>
  <c r="KR5" i="33"/>
  <c r="KN82" i="33" s="1"/>
  <c r="KN5" i="33"/>
  <c r="CY18" i="1"/>
  <c r="CF13" i="33"/>
  <c r="CG13" i="33" s="1"/>
  <c r="CB13" i="33"/>
  <c r="CT15" i="33"/>
  <c r="CS6" i="33"/>
  <c r="CY6" i="33" s="1"/>
  <c r="CZ6" i="33" s="1"/>
  <c r="CS11" i="33"/>
  <c r="CY11" i="33" s="1"/>
  <c r="CZ11" i="33" s="1"/>
  <c r="CT28" i="33"/>
  <c r="CT23" i="33"/>
  <c r="CS32" i="33"/>
  <c r="CT26" i="33"/>
  <c r="HX4" i="33"/>
  <c r="IB4" i="33"/>
  <c r="IC4" i="33" s="1"/>
  <c r="IB20" i="33"/>
  <c r="IC20" i="33" s="1"/>
  <c r="HX20" i="33"/>
  <c r="EK12" i="33"/>
  <c r="EL12" i="33" s="1"/>
  <c r="EG12" i="33"/>
  <c r="HX16" i="33"/>
  <c r="IB16" i="33"/>
  <c r="IC16" i="33" s="1"/>
  <c r="JJ14" i="33"/>
  <c r="JN14" i="33"/>
  <c r="JO14" i="33" s="1"/>
  <c r="KU28" i="33"/>
  <c r="BZ363" i="1"/>
  <c r="CA363" i="1" s="1"/>
  <c r="BN363" i="1"/>
  <c r="BE363" i="1"/>
  <c r="EF28" i="33"/>
  <c r="BT363" i="1"/>
  <c r="DA363" i="1"/>
  <c r="KB28" i="33"/>
  <c r="HW28" i="33"/>
  <c r="C28" i="33"/>
  <c r="DM28" i="33"/>
  <c r="CC363" i="1"/>
  <c r="CD363" i="1" s="1"/>
  <c r="CA28" i="33"/>
  <c r="CX363" i="1"/>
  <c r="IB8" i="33"/>
  <c r="IC8" i="33" s="1"/>
  <c r="HX8" i="33"/>
  <c r="KG8" i="33"/>
  <c r="KH8" i="33" s="1"/>
  <c r="KC8" i="33"/>
  <c r="EZ6" i="33"/>
  <c r="FD6" i="33"/>
  <c r="FE6" i="33" s="1"/>
  <c r="EY23" i="33"/>
  <c r="BZ288" i="1"/>
  <c r="JI23" i="33"/>
  <c r="CR288" i="1"/>
  <c r="GK23" i="33"/>
  <c r="CU288" i="1"/>
  <c r="BN288" i="1"/>
  <c r="DA288" i="1"/>
  <c r="CL288" i="1"/>
  <c r="BH288" i="1"/>
  <c r="CI288" i="1"/>
  <c r="BT288" i="1"/>
  <c r="CO288" i="1"/>
  <c r="C23" i="33"/>
  <c r="BE288" i="1"/>
  <c r="KU23" i="33"/>
  <c r="DM23" i="33"/>
  <c r="KB23" i="33"/>
  <c r="BW288" i="1"/>
  <c r="FR23" i="33"/>
  <c r="CF288" i="1"/>
  <c r="HW23" i="33"/>
  <c r="CX288" i="1"/>
  <c r="EF23" i="33"/>
  <c r="DD288" i="1"/>
  <c r="CC288" i="1"/>
  <c r="JN13" i="33"/>
  <c r="JO13" i="33" s="1"/>
  <c r="JJ13" i="33"/>
  <c r="DE138" i="1"/>
  <c r="BT303" i="1"/>
  <c r="CG243" i="1"/>
  <c r="CF17" i="33"/>
  <c r="CG17" i="33" s="1"/>
  <c r="CB17" i="33"/>
  <c r="BM423" i="1"/>
  <c r="B32" i="33"/>
  <c r="BS423" i="1"/>
  <c r="CE423" i="1"/>
  <c r="FQ32" i="33"/>
  <c r="GP15" i="33"/>
  <c r="GQ15" i="33" s="1"/>
  <c r="GL15" i="33"/>
  <c r="JJ12" i="33"/>
  <c r="KC12" i="33"/>
  <c r="KG12" i="33"/>
  <c r="KH12" i="33" s="1"/>
  <c r="KV11" i="33"/>
  <c r="KZ11" i="33"/>
  <c r="LA11" i="33" s="1"/>
  <c r="CA63" i="1"/>
  <c r="JI22" i="33"/>
  <c r="AO22" i="33"/>
  <c r="KB22" i="33"/>
  <c r="DM22" i="33"/>
  <c r="CI273" i="1"/>
  <c r="GK22" i="33"/>
  <c r="BK273" i="1"/>
  <c r="BL273" i="1" s="1"/>
  <c r="EY22" i="33"/>
  <c r="H5" i="33"/>
  <c r="I5" i="33" s="1"/>
  <c r="D5" i="33"/>
  <c r="IB13" i="33"/>
  <c r="IC13" i="33" s="1"/>
  <c r="HX13" i="33"/>
  <c r="FD13" i="33"/>
  <c r="FE13" i="33" s="1"/>
  <c r="EZ13" i="33"/>
  <c r="D7" i="33"/>
  <c r="BT498" i="1"/>
  <c r="FS10" i="33"/>
  <c r="CT37" i="33"/>
  <c r="CI468" i="1"/>
  <c r="KU35" i="33"/>
  <c r="BH468" i="1"/>
  <c r="HW35" i="33"/>
  <c r="AO35" i="33"/>
  <c r="FR35" i="33"/>
  <c r="EF35" i="33"/>
  <c r="JI35" i="33"/>
  <c r="CF468" i="1"/>
  <c r="DM35" i="33"/>
  <c r="CR438" i="1"/>
  <c r="CS438" i="1" s="1"/>
  <c r="HB4" i="33"/>
  <c r="GY81" i="33" s="1"/>
  <c r="CF4" i="33"/>
  <c r="CG4" i="33" s="1"/>
  <c r="CB4" i="33"/>
  <c r="KZ4" i="33"/>
  <c r="LA4" i="33" s="1"/>
  <c r="KV4" i="33"/>
  <c r="IQ14" i="33"/>
  <c r="IM10" i="33"/>
  <c r="II87" i="33" s="1"/>
  <c r="IG10" i="33"/>
  <c r="II10" i="33"/>
  <c r="IH10" i="33"/>
  <c r="IN10" i="33"/>
  <c r="IK87" i="33" s="1"/>
  <c r="GU4" i="33"/>
  <c r="HA4" i="33"/>
  <c r="GW81" i="33" s="1"/>
  <c r="GW4" i="33"/>
  <c r="FS4" i="33"/>
  <c r="M208" i="1"/>
  <c r="I418" i="1"/>
  <c r="U72" i="1"/>
  <c r="U148" i="1"/>
  <c r="S192" i="1"/>
  <c r="U133" i="1"/>
  <c r="U463" i="1"/>
  <c r="O329" i="1"/>
  <c r="K177" i="1"/>
  <c r="U118" i="1"/>
  <c r="K342" i="1"/>
  <c r="K478" i="1"/>
  <c r="C478" i="1" s="1"/>
  <c r="E478" i="1" s="1"/>
  <c r="M478" i="1"/>
  <c r="I463" i="1"/>
  <c r="K418" i="1"/>
  <c r="M372" i="1"/>
  <c r="M373" i="1"/>
  <c r="K343" i="1"/>
  <c r="K344" i="1" s="1"/>
  <c r="B23" i="3" s="1"/>
  <c r="S297" i="1"/>
  <c r="I298" i="1"/>
  <c r="K268" i="1"/>
  <c r="C268" i="1" s="1"/>
  <c r="E268" i="1" s="1"/>
  <c r="U253" i="1"/>
  <c r="U254" i="1" s="1"/>
  <c r="G17" i="3" s="1"/>
  <c r="I238" i="1"/>
  <c r="K194" i="1"/>
  <c r="B13" i="3" s="1"/>
  <c r="I192" i="1"/>
  <c r="C192" i="1" s="1"/>
  <c r="E192" i="1" s="1"/>
  <c r="K178" i="1"/>
  <c r="Q148" i="1"/>
  <c r="C148" i="1" s="1"/>
  <c r="E148" i="1" s="1"/>
  <c r="BH36" i="33"/>
  <c r="U269" i="1"/>
  <c r="G18" i="3" s="1"/>
  <c r="M194" i="1"/>
  <c r="C13" i="3" s="1"/>
  <c r="CY153" i="1"/>
  <c r="CU19" i="33"/>
  <c r="K327" i="1"/>
  <c r="K329" i="1" s="1"/>
  <c r="CU30" i="33"/>
  <c r="O464" i="1"/>
  <c r="CY27" i="33"/>
  <c r="CZ27" i="33" s="1"/>
  <c r="CU27" i="33"/>
  <c r="KB36" i="33"/>
  <c r="O14" i="1"/>
  <c r="D1" i="3" s="1"/>
  <c r="FD28" i="33"/>
  <c r="FE28" i="33" s="1"/>
  <c r="EZ28" i="33"/>
  <c r="DC483" i="1"/>
  <c r="HE27" i="33"/>
  <c r="U419" i="1"/>
  <c r="V176" i="1"/>
  <c r="BX3" i="1"/>
  <c r="CC453" i="1"/>
  <c r="I88" i="1"/>
  <c r="F74" i="1"/>
  <c r="F89" i="1" s="1"/>
  <c r="Q419" i="1"/>
  <c r="J22" i="1"/>
  <c r="K267" i="1"/>
  <c r="M419" i="1"/>
  <c r="O179" i="1"/>
  <c r="Q87" i="1"/>
  <c r="Q89" i="1" s="1"/>
  <c r="E6" i="3" s="1"/>
  <c r="Q88" i="1"/>
  <c r="I372" i="1"/>
  <c r="I373" i="1"/>
  <c r="M87" i="1"/>
  <c r="M89" i="1" s="1"/>
  <c r="T381" i="1"/>
  <c r="CR348" i="1"/>
  <c r="CS348" i="1" s="1"/>
  <c r="N6" i="33"/>
  <c r="M6" i="33"/>
  <c r="S6" i="33"/>
  <c r="O83" i="33" s="1"/>
  <c r="T6" i="33"/>
  <c r="Q83" i="33" s="1"/>
  <c r="O6" i="33"/>
  <c r="N381" i="1"/>
  <c r="EY34" i="33"/>
  <c r="BH348" i="1"/>
  <c r="R40" i="1"/>
  <c r="T40" i="1"/>
  <c r="N40" i="1"/>
  <c r="DB468" i="1"/>
  <c r="N176" i="1"/>
  <c r="BQ348" i="1"/>
  <c r="BR348" i="1" s="1"/>
  <c r="U57" i="1"/>
  <c r="U59" i="1" s="1"/>
  <c r="U149" i="1"/>
  <c r="G10" i="3" s="1"/>
  <c r="R161" i="1"/>
  <c r="IQ20" i="33"/>
  <c r="U132" i="1"/>
  <c r="U134" i="1" s="1"/>
  <c r="G9" i="3" s="1"/>
  <c r="KZ25" i="33"/>
  <c r="LA25" i="33" s="1"/>
  <c r="KV25" i="33"/>
  <c r="FS13" i="33"/>
  <c r="FW13" i="33"/>
  <c r="FX13" i="33" s="1"/>
  <c r="GL25" i="33"/>
  <c r="GP25" i="33"/>
  <c r="GQ25" i="33" s="1"/>
  <c r="BL243" i="1"/>
  <c r="M14" i="33"/>
  <c r="N14" i="33"/>
  <c r="O14" i="33"/>
  <c r="T14" i="33"/>
  <c r="Q91" i="33" s="1"/>
  <c r="S14" i="33"/>
  <c r="O91" i="33" s="1"/>
  <c r="CC258" i="1"/>
  <c r="BW258" i="1"/>
  <c r="DM21" i="33"/>
  <c r="EY21" i="33"/>
  <c r="CW453" i="1"/>
  <c r="IQ10" i="33"/>
  <c r="IU10" i="33"/>
  <c r="IV10" i="33" s="1"/>
  <c r="DC453" i="1"/>
  <c r="KA23" i="33"/>
  <c r="BM288" i="1"/>
  <c r="BS288" i="1"/>
  <c r="CS23" i="33"/>
  <c r="DC288" i="1"/>
  <c r="BG288" i="1"/>
  <c r="CZ288" i="1"/>
  <c r="KT23" i="33"/>
  <c r="CW288" i="1"/>
  <c r="BV498" i="1"/>
  <c r="BJ498" i="1"/>
  <c r="CT498" i="1"/>
  <c r="DL37" i="33"/>
  <c r="JH37" i="33"/>
  <c r="AN37" i="33"/>
  <c r="GL16" i="33"/>
  <c r="FD16" i="33"/>
  <c r="FE16" i="33" s="1"/>
  <c r="EZ16" i="33"/>
  <c r="IQ4" i="33"/>
  <c r="IU4" i="33"/>
  <c r="IV4" i="33" s="1"/>
  <c r="KA34" i="33"/>
  <c r="KG34" i="33" s="1"/>
  <c r="KH34" i="33" s="1"/>
  <c r="HC34" i="33"/>
  <c r="HI34" i="33" s="1"/>
  <c r="HJ34" i="33" s="1"/>
  <c r="JN20" i="33"/>
  <c r="JO20" i="33" s="1"/>
  <c r="BH5" i="33"/>
  <c r="BG10" i="33"/>
  <c r="BH7" i="33"/>
  <c r="BH15" i="33"/>
  <c r="BH8" i="33"/>
  <c r="BH13" i="33"/>
  <c r="BG8" i="33"/>
  <c r="BG15" i="33"/>
  <c r="BG16" i="33"/>
  <c r="BG6" i="33"/>
  <c r="BH18" i="33"/>
  <c r="BI18" i="33" s="1"/>
  <c r="BG12" i="33"/>
  <c r="BH17" i="33"/>
  <c r="BH9" i="33"/>
  <c r="BH11" i="33"/>
  <c r="BH10" i="33"/>
  <c r="BH19" i="33"/>
  <c r="BH16" i="33"/>
  <c r="BG5" i="33"/>
  <c r="BH12" i="33"/>
  <c r="BG7" i="33"/>
  <c r="BG17" i="33"/>
  <c r="BH6" i="33"/>
  <c r="BH14" i="33"/>
  <c r="BG13" i="33"/>
  <c r="BG9" i="33"/>
  <c r="BH4" i="33"/>
  <c r="BG11" i="33"/>
  <c r="BH35" i="33"/>
  <c r="BG25" i="33"/>
  <c r="BH20" i="33"/>
  <c r="BG14" i="33"/>
  <c r="BG4" i="33"/>
  <c r="AA41" i="33"/>
  <c r="A46" i="33"/>
  <c r="BH23" i="33"/>
  <c r="BG32" i="33"/>
  <c r="BG23" i="33"/>
  <c r="BH22" i="33"/>
  <c r="BG19" i="33"/>
  <c r="BH28" i="33"/>
  <c r="BM453" i="1"/>
  <c r="EZ4" i="33"/>
  <c r="FD4" i="33"/>
  <c r="FE4" i="33" s="1"/>
  <c r="CF498" i="1"/>
  <c r="FR37" i="33"/>
  <c r="BH498" i="1"/>
  <c r="CU18" i="33"/>
  <c r="CY18" i="33"/>
  <c r="CZ18" i="33" s="1"/>
  <c r="HD5" i="33"/>
  <c r="HC16" i="33"/>
  <c r="HC8" i="33"/>
  <c r="HC10" i="33"/>
  <c r="HD11" i="33"/>
  <c r="HC18" i="33"/>
  <c r="HD13" i="33"/>
  <c r="HC13" i="33"/>
  <c r="HC17" i="33"/>
  <c r="HI17" i="33" s="1"/>
  <c r="HJ17" i="33" s="1"/>
  <c r="HD18" i="33"/>
  <c r="HD12" i="33"/>
  <c r="HC19" i="33"/>
  <c r="HD20" i="33"/>
  <c r="HC5" i="33"/>
  <c r="HD4" i="33"/>
  <c r="HD19" i="33"/>
  <c r="HD9" i="33"/>
  <c r="HC15" i="33"/>
  <c r="A54" i="33"/>
  <c r="HC4" i="33"/>
  <c r="HD6" i="33"/>
  <c r="HD8" i="33"/>
  <c r="HC14" i="33"/>
  <c r="HD16" i="33"/>
  <c r="HC12" i="33"/>
  <c r="AQ41" i="33"/>
  <c r="HD15" i="33"/>
  <c r="HC25" i="33"/>
  <c r="HC9" i="33"/>
  <c r="HD7" i="33"/>
  <c r="HC6" i="33"/>
  <c r="HC11" i="33"/>
  <c r="HD10" i="33"/>
  <c r="HD28" i="33"/>
  <c r="HC36" i="33"/>
  <c r="HD22" i="33"/>
  <c r="HD23" i="33"/>
  <c r="CU5" i="33"/>
  <c r="CY5" i="33"/>
  <c r="CZ5" i="33" s="1"/>
  <c r="BG34" i="33"/>
  <c r="BM34" i="33" s="1"/>
  <c r="BN34" i="33" s="1"/>
  <c r="FD8" i="33"/>
  <c r="FE8" i="33" s="1"/>
  <c r="EZ8" i="33"/>
  <c r="CT33" i="33"/>
  <c r="CU33" i="33" s="1"/>
  <c r="CO438" i="1"/>
  <c r="CP438" i="1" s="1"/>
  <c r="FR33" i="33"/>
  <c r="BT438" i="1"/>
  <c r="BU438" i="1" s="1"/>
  <c r="HW33" i="33"/>
  <c r="HX33" i="33" s="1"/>
  <c r="CF438" i="1"/>
  <c r="CG438" i="1" s="1"/>
  <c r="BH438" i="1"/>
  <c r="BW438" i="1"/>
  <c r="BX438" i="1" s="1"/>
  <c r="DM33" i="33"/>
  <c r="DN33" i="33" s="1"/>
  <c r="IU17" i="33"/>
  <c r="IV17" i="33" s="1"/>
  <c r="IQ17" i="33"/>
  <c r="CI453" i="1"/>
  <c r="CA34" i="33"/>
  <c r="CU453" i="1"/>
  <c r="JI34" i="33"/>
  <c r="BQ453" i="1"/>
  <c r="GK34" i="33"/>
  <c r="DD453" i="1"/>
  <c r="CY15" i="33"/>
  <c r="CZ15" i="33" s="1"/>
  <c r="CU15" i="33"/>
  <c r="IP37" i="33"/>
  <c r="CR498" i="1"/>
  <c r="IP27" i="33"/>
  <c r="IQ27" i="33" s="1"/>
  <c r="KC36" i="33"/>
  <c r="KG36" i="33"/>
  <c r="KH36" i="33" s="1"/>
  <c r="HX6" i="33"/>
  <c r="IB6" i="33"/>
  <c r="IC6" i="33" s="1"/>
  <c r="IQ13" i="33"/>
  <c r="IU13" i="33"/>
  <c r="IV13" i="33" s="1"/>
  <c r="IQ16" i="33"/>
  <c r="IU16" i="33"/>
  <c r="IV16" i="33" s="1"/>
  <c r="IQ18" i="33"/>
  <c r="IU18" i="33"/>
  <c r="IV18" i="33" s="1"/>
  <c r="CU12" i="33"/>
  <c r="CY12" i="33"/>
  <c r="CZ12" i="33" s="1"/>
  <c r="CF303" i="1"/>
  <c r="IU12" i="33"/>
  <c r="IV12" i="33" s="1"/>
  <c r="IQ12" i="33"/>
  <c r="HE33" i="33"/>
  <c r="HI33" i="33"/>
  <c r="HJ33" i="33" s="1"/>
  <c r="CY7" i="33"/>
  <c r="CZ7" i="33" s="1"/>
  <c r="CU7" i="33"/>
  <c r="CU16" i="33"/>
  <c r="CY16" i="33"/>
  <c r="CZ16" i="33" s="1"/>
  <c r="CY9" i="33"/>
  <c r="CZ9" i="33" s="1"/>
  <c r="CU9" i="33"/>
  <c r="CY20" i="33"/>
  <c r="CZ20" i="33" s="1"/>
  <c r="CU20" i="33"/>
  <c r="CL423" i="1"/>
  <c r="BW423" i="1"/>
  <c r="BX423" i="1" s="1"/>
  <c r="HD32" i="33"/>
  <c r="FR32" i="33"/>
  <c r="BZ423" i="1"/>
  <c r="CA423" i="1" s="1"/>
  <c r="JI32" i="33"/>
  <c r="CF423" i="1"/>
  <c r="BN423" i="1"/>
  <c r="BO423" i="1" s="1"/>
  <c r="IP32" i="33"/>
  <c r="GK32" i="33"/>
  <c r="BH423" i="1"/>
  <c r="KB32" i="33"/>
  <c r="CT32" i="33"/>
  <c r="C32" i="33"/>
  <c r="BH32" i="33"/>
  <c r="EF32" i="33"/>
  <c r="BE423" i="1"/>
  <c r="BF423" i="1" s="1"/>
  <c r="BT423" i="1"/>
  <c r="BU423" i="1" s="1"/>
  <c r="CI423" i="1"/>
  <c r="CR423" i="1"/>
  <c r="DM32" i="33"/>
  <c r="CO423" i="1"/>
  <c r="CP423" i="1" s="1"/>
  <c r="CX423" i="1"/>
  <c r="EY32" i="33"/>
  <c r="DA423" i="1"/>
  <c r="CU423" i="1"/>
  <c r="CC423" i="1"/>
  <c r="KU32" i="33"/>
  <c r="HW32" i="33"/>
  <c r="CB303" i="1"/>
  <c r="BZ24" i="33"/>
  <c r="BD303" i="1"/>
  <c r="CN303" i="1"/>
  <c r="BP303" i="1"/>
  <c r="B24" i="33"/>
  <c r="IO24" i="33"/>
  <c r="EX24" i="33"/>
  <c r="HV24" i="33"/>
  <c r="EX31" i="33"/>
  <c r="S314" i="1"/>
  <c r="CL483" i="1"/>
  <c r="CO483" i="1"/>
  <c r="CP483" i="1" s="1"/>
  <c r="BT483" i="1"/>
  <c r="BU483" i="1" s="1"/>
  <c r="BQ498" i="1"/>
  <c r="HD37" i="33"/>
  <c r="KB37" i="33"/>
  <c r="CL498" i="1"/>
  <c r="GK37" i="33"/>
  <c r="CX498" i="1"/>
  <c r="BH37" i="33"/>
  <c r="DA498" i="1"/>
  <c r="BE498" i="1"/>
  <c r="BZ498" i="1"/>
  <c r="CU498" i="1"/>
  <c r="DM37" i="33"/>
  <c r="BK498" i="1"/>
  <c r="BL498" i="1" s="1"/>
  <c r="BW498" i="1"/>
  <c r="CO498" i="1"/>
  <c r="CC498" i="1"/>
  <c r="CA37" i="33"/>
  <c r="KU37" i="33"/>
  <c r="C37" i="33"/>
  <c r="DD498" i="1"/>
  <c r="EF37" i="33"/>
  <c r="JI37" i="33"/>
  <c r="CI498" i="1"/>
  <c r="HW37" i="33"/>
  <c r="BN498" i="1"/>
  <c r="AO37" i="33"/>
  <c r="EY37" i="33"/>
  <c r="DM27" i="33"/>
  <c r="DN27" i="33" s="1"/>
  <c r="CA27" i="33"/>
  <c r="CB27" i="33" s="1"/>
  <c r="BM27" i="33"/>
  <c r="BN27" i="33" s="1"/>
  <c r="BI27" i="33"/>
  <c r="J246" i="1"/>
  <c r="I253" i="1" s="1"/>
  <c r="N246" i="1"/>
  <c r="M252" i="1" s="1"/>
  <c r="R246" i="1"/>
  <c r="Q253" i="1" s="1"/>
  <c r="T246" i="1"/>
  <c r="S253" i="1" s="1"/>
  <c r="L246" i="1"/>
  <c r="K253" i="1" s="1"/>
  <c r="BZ483" i="1"/>
  <c r="I252" i="1"/>
  <c r="KG27" i="33"/>
  <c r="KH27" i="33" s="1"/>
  <c r="KC27" i="33"/>
  <c r="CB33" i="33"/>
  <c r="CF33" i="33"/>
  <c r="CG33" i="33" s="1"/>
  <c r="IB33" i="33"/>
  <c r="IC33" i="33" s="1"/>
  <c r="IP36" i="33"/>
  <c r="HW36" i="33"/>
  <c r="T400" i="1"/>
  <c r="HD24" i="33"/>
  <c r="DD303" i="1"/>
  <c r="CL303" i="1"/>
  <c r="V221" i="1"/>
  <c r="U223" i="1" s="1"/>
  <c r="T221" i="1"/>
  <c r="S222" i="1" s="1"/>
  <c r="M477" i="1"/>
  <c r="M479" i="1" s="1"/>
  <c r="C32" i="3" s="1"/>
  <c r="N305" i="1"/>
  <c r="M312" i="1" s="1"/>
  <c r="L305" i="1"/>
  <c r="KZ27" i="33"/>
  <c r="LA27" i="33" s="1"/>
  <c r="KV27" i="33"/>
  <c r="DD483" i="1"/>
  <c r="DE483" i="1" s="1"/>
  <c r="BH483" i="1"/>
  <c r="BI483" i="1" s="1"/>
  <c r="CF483" i="1"/>
  <c r="EY36" i="33"/>
  <c r="CC483" i="1"/>
  <c r="BE483" i="1"/>
  <c r="CI483" i="1"/>
  <c r="DA483" i="1"/>
  <c r="EF36" i="33"/>
  <c r="JI36" i="33"/>
  <c r="FR36" i="33"/>
  <c r="DM36" i="33"/>
  <c r="CT36" i="33"/>
  <c r="C36" i="33"/>
  <c r="GK36" i="33"/>
  <c r="KZ35" i="33"/>
  <c r="LA35" i="33" s="1"/>
  <c r="KV35" i="33"/>
  <c r="P28" i="1"/>
  <c r="P43" i="1" s="1"/>
  <c r="P58" i="1" s="1"/>
  <c r="P73" i="1" s="1"/>
  <c r="P88" i="1" s="1"/>
  <c r="P103" i="1" s="1"/>
  <c r="P118" i="1" s="1"/>
  <c r="P133" i="1" s="1"/>
  <c r="P148" i="1" s="1"/>
  <c r="P163" i="1" s="1"/>
  <c r="P178" i="1" s="1"/>
  <c r="P193" i="1" s="1"/>
  <c r="P208" i="1" s="1"/>
  <c r="P223" i="1" s="1"/>
  <c r="P238" i="1" s="1"/>
  <c r="P253" i="1" s="1"/>
  <c r="P268" i="1" s="1"/>
  <c r="P283" i="1" s="1"/>
  <c r="P298" i="1" s="1"/>
  <c r="P313" i="1" s="1"/>
  <c r="P328" i="1" s="1"/>
  <c r="P343" i="1" s="1"/>
  <c r="P358" i="1" s="1"/>
  <c r="P373" i="1" s="1"/>
  <c r="P388" i="1" s="1"/>
  <c r="P403" i="1" s="1"/>
  <c r="P418" i="1" s="1"/>
  <c r="P433" i="1" s="1"/>
  <c r="P448" i="1" s="1"/>
  <c r="P463" i="1" s="1"/>
  <c r="P478" i="1" s="1"/>
  <c r="P493" i="1" s="1"/>
  <c r="P508" i="1" s="1"/>
  <c r="BN483" i="1"/>
  <c r="Q329" i="1"/>
  <c r="HE20" i="33"/>
  <c r="HI20" i="33"/>
  <c r="HJ20" i="33" s="1"/>
  <c r="Q207" i="1"/>
  <c r="Q208" i="1"/>
  <c r="T176" i="1"/>
  <c r="R176" i="1"/>
  <c r="J400" i="1"/>
  <c r="I402" i="1" s="1"/>
  <c r="BM483" i="1"/>
  <c r="AN36" i="33"/>
  <c r="DL36" i="33"/>
  <c r="GJ36" i="33"/>
  <c r="CB483" i="1"/>
  <c r="CH483" i="1"/>
  <c r="CZ483" i="1"/>
  <c r="KT36" i="33"/>
  <c r="EX36" i="33"/>
  <c r="CT483" i="1"/>
  <c r="FQ36" i="33"/>
  <c r="BZ36" i="33"/>
  <c r="BP483" i="1"/>
  <c r="BJ483" i="1"/>
  <c r="BL483" i="1" s="1"/>
  <c r="BG36" i="33"/>
  <c r="B36" i="33"/>
  <c r="BV483" i="1"/>
  <c r="JH36" i="33"/>
  <c r="CE483" i="1"/>
  <c r="BD483" i="1"/>
  <c r="BW348" i="1"/>
  <c r="BX348" i="1" s="1"/>
  <c r="BW483" i="1"/>
  <c r="DR33" i="33"/>
  <c r="DS33" i="33" s="1"/>
  <c r="M132" i="1"/>
  <c r="M133" i="1"/>
  <c r="GL33" i="33"/>
  <c r="GP33" i="33"/>
  <c r="GQ33" i="33" s="1"/>
  <c r="CR483" i="1"/>
  <c r="CS483" i="1" s="1"/>
  <c r="Q282" i="1"/>
  <c r="Q284" i="1" s="1"/>
  <c r="E19" i="3" s="1"/>
  <c r="I447" i="1"/>
  <c r="V100" i="1"/>
  <c r="T100" i="1"/>
  <c r="N100" i="1"/>
  <c r="O419" i="1"/>
  <c r="D28" i="3" s="1"/>
  <c r="Y28" i="3" s="1"/>
  <c r="Q447" i="1"/>
  <c r="Q449" i="1" s="1"/>
  <c r="E30" i="3" s="1"/>
  <c r="N400" i="1"/>
  <c r="M402" i="1" s="1"/>
  <c r="K208" i="1"/>
  <c r="K209" i="1" s="1"/>
  <c r="M432" i="1"/>
  <c r="M434" i="1" s="1"/>
  <c r="C29" i="3" s="1"/>
  <c r="GL27" i="33"/>
  <c r="GP27" i="33"/>
  <c r="GQ27" i="33" s="1"/>
  <c r="JJ33" i="33"/>
  <c r="JN33" i="33"/>
  <c r="JO33" i="33" s="1"/>
  <c r="I313" i="1"/>
  <c r="HD36" i="33"/>
  <c r="K388" i="1"/>
  <c r="K387" i="1"/>
  <c r="K389" i="1" s="1"/>
  <c r="B26" i="3" s="1"/>
  <c r="W26" i="3" s="1"/>
  <c r="S432" i="1"/>
  <c r="S434" i="1" s="1"/>
  <c r="K147" i="1"/>
  <c r="K149" i="1" s="1"/>
  <c r="B10" i="3" s="1"/>
  <c r="I267" i="1"/>
  <c r="I342" i="1"/>
  <c r="T275" i="1"/>
  <c r="N275" i="1"/>
  <c r="L275" i="1"/>
  <c r="V275" i="1"/>
  <c r="U283" i="1" s="1"/>
  <c r="CX483" i="1"/>
  <c r="CY483" i="1" s="1"/>
  <c r="L400" i="1"/>
  <c r="K403" i="1" s="1"/>
  <c r="CK453" i="1"/>
  <c r="CQ453" i="1"/>
  <c r="BS453" i="1"/>
  <c r="CS34" i="33"/>
  <c r="BP453" i="1"/>
  <c r="CZ453" i="1"/>
  <c r="B34" i="33"/>
  <c r="H34" i="33" s="1"/>
  <c r="I34" i="33" s="1"/>
  <c r="JH34" i="33"/>
  <c r="KT34" i="33"/>
  <c r="KZ34" i="33" s="1"/>
  <c r="LA34" i="33" s="1"/>
  <c r="DL34" i="33"/>
  <c r="BZ34" i="33"/>
  <c r="EX34" i="33"/>
  <c r="CE453" i="1"/>
  <c r="BV453" i="1"/>
  <c r="CT453" i="1"/>
  <c r="IO34" i="33"/>
  <c r="EE34" i="33"/>
  <c r="CB453" i="1"/>
  <c r="GJ34" i="33"/>
  <c r="CH453" i="1"/>
  <c r="BJ453" i="1"/>
  <c r="BL453" i="1" s="1"/>
  <c r="BY453" i="1"/>
  <c r="FQ34" i="33"/>
  <c r="AN34" i="33"/>
  <c r="CN453" i="1"/>
  <c r="HV34" i="33"/>
  <c r="BD453" i="1"/>
  <c r="BG453" i="1"/>
  <c r="U432" i="1"/>
  <c r="U433" i="1"/>
  <c r="CF27" i="33"/>
  <c r="CG27" i="33" s="1"/>
  <c r="CY33" i="33"/>
  <c r="CZ33" i="33" s="1"/>
  <c r="Q313" i="1"/>
  <c r="Q314" i="1" s="1"/>
  <c r="E21" i="3" s="1"/>
  <c r="M298" i="1"/>
  <c r="M299" i="1" s="1"/>
  <c r="C20" i="3" s="1"/>
  <c r="U313" i="1"/>
  <c r="U314" i="1" s="1"/>
  <c r="G21" i="3" s="1"/>
  <c r="Q103" i="1"/>
  <c r="Q102" i="1"/>
  <c r="Q104" i="1" s="1"/>
  <c r="D7" i="3"/>
  <c r="E22" i="3"/>
  <c r="U207" i="1"/>
  <c r="U208" i="1"/>
  <c r="O299" i="1"/>
  <c r="R155" i="1"/>
  <c r="V155" i="1"/>
  <c r="J155" i="1"/>
  <c r="L155" i="1"/>
  <c r="N155" i="1"/>
  <c r="O359" i="1"/>
  <c r="D17" i="3"/>
  <c r="U28" i="1"/>
  <c r="Q298" i="1"/>
  <c r="Q299" i="1" s="1"/>
  <c r="E20" i="3" s="1"/>
  <c r="M253" i="1"/>
  <c r="N355" i="1"/>
  <c r="T355" i="1"/>
  <c r="V355" i="1"/>
  <c r="L355" i="1"/>
  <c r="K357" i="1" s="1"/>
  <c r="O164" i="1"/>
  <c r="O59" i="1"/>
  <c r="O269" i="1"/>
  <c r="S87" i="1"/>
  <c r="S88" i="1"/>
  <c r="U402" i="1"/>
  <c r="U403" i="1"/>
  <c r="Q27" i="1"/>
  <c r="Q28" i="1"/>
  <c r="M28" i="1"/>
  <c r="I388" i="1"/>
  <c r="I387" i="1"/>
  <c r="D31" i="3"/>
  <c r="O314" i="1"/>
  <c r="Q132" i="1"/>
  <c r="Q133" i="1"/>
  <c r="Q194" i="1"/>
  <c r="O434" i="1"/>
  <c r="O89" i="1"/>
  <c r="O404" i="1"/>
  <c r="I27" i="1"/>
  <c r="I28" i="1"/>
  <c r="D12" i="3"/>
  <c r="J95" i="1"/>
  <c r="I102" i="1" s="1"/>
  <c r="V95" i="1"/>
  <c r="L95" i="1"/>
  <c r="N95" i="1"/>
  <c r="T95" i="1"/>
  <c r="S102" i="1" s="1"/>
  <c r="O374" i="1"/>
  <c r="I358" i="1"/>
  <c r="K27" i="1"/>
  <c r="K28" i="1"/>
  <c r="M57" i="1"/>
  <c r="M59" i="1" s="1"/>
  <c r="C4" i="3" s="1"/>
  <c r="O119" i="1"/>
  <c r="O74" i="1"/>
  <c r="K87" i="1"/>
  <c r="K88" i="1"/>
  <c r="Q432" i="1"/>
  <c r="Q433" i="1"/>
  <c r="S402" i="1"/>
  <c r="S403" i="1"/>
  <c r="S118" i="1"/>
  <c r="S117" i="1"/>
  <c r="U387" i="1"/>
  <c r="U388" i="1"/>
  <c r="O449" i="1"/>
  <c r="BI34" i="33"/>
  <c r="K298" i="1"/>
  <c r="L487" i="1"/>
  <c r="O284" i="1"/>
  <c r="S27" i="1"/>
  <c r="S28" i="1"/>
  <c r="S103" i="1"/>
  <c r="Q402" i="1"/>
  <c r="Q403" i="1"/>
  <c r="I432" i="1"/>
  <c r="I433" i="1"/>
  <c r="C433" i="1" s="1"/>
  <c r="E433" i="1" s="1"/>
  <c r="K73" i="1"/>
  <c r="Q58" i="1"/>
  <c r="C58" i="1" s="1"/>
  <c r="E58" i="1" s="1"/>
  <c r="U299" i="1"/>
  <c r="G13" i="3"/>
  <c r="S298" i="1"/>
  <c r="S299" i="1" s="1"/>
  <c r="U73" i="1"/>
  <c r="D33" i="3"/>
  <c r="S372" i="1"/>
  <c r="S373" i="1"/>
  <c r="V324" i="1"/>
  <c r="T324" i="1"/>
  <c r="N324" i="1"/>
  <c r="J324" i="1"/>
  <c r="P27" i="1"/>
  <c r="P42" i="1" s="1"/>
  <c r="P57" i="1" s="1"/>
  <c r="P72" i="1" s="1"/>
  <c r="P87" i="1" s="1"/>
  <c r="P102" i="1" s="1"/>
  <c r="P117" i="1" s="1"/>
  <c r="P132" i="1" s="1"/>
  <c r="P147" i="1" s="1"/>
  <c r="P162" i="1" s="1"/>
  <c r="P177" i="1" s="1"/>
  <c r="P192" i="1" s="1"/>
  <c r="P207" i="1" s="1"/>
  <c r="P222" i="1" s="1"/>
  <c r="P237" i="1" s="1"/>
  <c r="P252" i="1" s="1"/>
  <c r="P267" i="1" s="1"/>
  <c r="P282" i="1" s="1"/>
  <c r="P297" i="1" s="1"/>
  <c r="P312" i="1" s="1"/>
  <c r="P327" i="1" s="1"/>
  <c r="P342" i="1" s="1"/>
  <c r="P357" i="1" s="1"/>
  <c r="P372" i="1" s="1"/>
  <c r="P387" i="1" s="1"/>
  <c r="P402" i="1" s="1"/>
  <c r="P417" i="1" s="1"/>
  <c r="P432" i="1" s="1"/>
  <c r="P447" i="1" s="1"/>
  <c r="P462" i="1" s="1"/>
  <c r="P477" i="1" s="1"/>
  <c r="P492" i="1" s="1"/>
  <c r="P507" i="1" s="1"/>
  <c r="O29" i="1"/>
  <c r="O134" i="1"/>
  <c r="D32" i="3"/>
  <c r="D23" i="3"/>
  <c r="U43" i="1"/>
  <c r="I193" i="1"/>
  <c r="C193" i="1" s="1"/>
  <c r="E193" i="1" s="1"/>
  <c r="M103" i="1"/>
  <c r="K133" i="1"/>
  <c r="C133" i="1" s="1"/>
  <c r="E133" i="1" s="1"/>
  <c r="K132" i="1"/>
  <c r="I57" i="1"/>
  <c r="M27" i="1"/>
  <c r="R36" i="1"/>
  <c r="L36" i="1"/>
  <c r="N36" i="1"/>
  <c r="V36" i="1"/>
  <c r="T36" i="1"/>
  <c r="T489" i="1"/>
  <c r="S492" i="1" s="1"/>
  <c r="R489" i="1"/>
  <c r="J36" i="1"/>
  <c r="I42" i="1" s="1"/>
  <c r="U372" i="1"/>
  <c r="U373" i="1"/>
  <c r="O209" i="1"/>
  <c r="D22" i="3"/>
  <c r="O149" i="1"/>
  <c r="O194" i="1"/>
  <c r="C6" i="3"/>
  <c r="F29" i="3"/>
  <c r="F104" i="1"/>
  <c r="F119" i="1" s="1"/>
  <c r="F134" i="1" s="1"/>
  <c r="F149" i="1" s="1"/>
  <c r="F164" i="1" s="1"/>
  <c r="F179" i="1" s="1"/>
  <c r="F194" i="1" s="1"/>
  <c r="F209" i="1" s="1"/>
  <c r="F224" i="1" s="1"/>
  <c r="F239" i="1" s="1"/>
  <c r="F254" i="1" s="1"/>
  <c r="F269" i="1" s="1"/>
  <c r="F284" i="1" s="1"/>
  <c r="F299" i="1" s="1"/>
  <c r="F314" i="1" s="1"/>
  <c r="F329" i="1" s="1"/>
  <c r="F344" i="1" s="1"/>
  <c r="F359" i="1" s="1"/>
  <c r="F374" i="1" s="1"/>
  <c r="F389" i="1" s="1"/>
  <c r="F404" i="1" s="1"/>
  <c r="F419" i="1" s="1"/>
  <c r="F434" i="1" s="1"/>
  <c r="F449" i="1" s="1"/>
  <c r="F464" i="1" s="1"/>
  <c r="F479" i="1" s="1"/>
  <c r="F494" i="1" s="1"/>
  <c r="F509" i="1" s="1"/>
  <c r="U477" i="1"/>
  <c r="U478" i="1"/>
  <c r="O509" i="1"/>
  <c r="O44" i="1"/>
  <c r="O239" i="1"/>
  <c r="T155" i="1"/>
  <c r="N335" i="1"/>
  <c r="R335" i="1"/>
  <c r="T335" i="1"/>
  <c r="V335" i="1"/>
  <c r="O389" i="1"/>
  <c r="I72" i="1"/>
  <c r="I73" i="1"/>
  <c r="I237" i="1"/>
  <c r="E28" i="3"/>
  <c r="E18" i="3"/>
  <c r="K72" i="1"/>
  <c r="G28" i="3"/>
  <c r="U492" i="1"/>
  <c r="U493" i="1"/>
  <c r="K372" i="1"/>
  <c r="S387" i="1"/>
  <c r="S388" i="1"/>
  <c r="I208" i="1"/>
  <c r="I207" i="1"/>
  <c r="S447" i="1"/>
  <c r="S448" i="1"/>
  <c r="K417" i="1"/>
  <c r="K419" i="1" s="1"/>
  <c r="KS20" i="33"/>
  <c r="KP97" i="33" s="1"/>
  <c r="KM20" i="33"/>
  <c r="KL20" i="33"/>
  <c r="KN20" i="33"/>
  <c r="KR20" i="33"/>
  <c r="KN97" i="33" s="1"/>
  <c r="I149" i="1"/>
  <c r="F28" i="3"/>
  <c r="K492" i="1"/>
  <c r="K493" i="1"/>
  <c r="R154" i="1"/>
  <c r="Q163" i="1" s="1"/>
  <c r="L154" i="1"/>
  <c r="K163" i="1" s="1"/>
  <c r="T154" i="1"/>
  <c r="S163" i="1" s="1"/>
  <c r="N154" i="1"/>
  <c r="M163" i="1" s="1"/>
  <c r="V154" i="1"/>
  <c r="U163" i="1" s="1"/>
  <c r="M387" i="1"/>
  <c r="M388" i="1"/>
  <c r="J169" i="1"/>
  <c r="R169" i="1"/>
  <c r="L109" i="1"/>
  <c r="J109" i="1"/>
  <c r="N109" i="1"/>
  <c r="M118" i="1" s="1"/>
  <c r="R109" i="1"/>
  <c r="Q118" i="1" s="1"/>
  <c r="M447" i="1"/>
  <c r="M448" i="1"/>
  <c r="C448" i="1" s="1"/>
  <c r="E448" i="1" s="1"/>
  <c r="K297" i="1"/>
  <c r="C297" i="1" s="1"/>
  <c r="E297" i="1" s="1"/>
  <c r="K269" i="1"/>
  <c r="M267" i="1"/>
  <c r="M269" i="1" s="1"/>
  <c r="Q387" i="1"/>
  <c r="Q388" i="1"/>
  <c r="L114" i="1"/>
  <c r="J114" i="1"/>
  <c r="T232" i="1"/>
  <c r="S237" i="1" s="1"/>
  <c r="R232" i="1"/>
  <c r="Q238" i="1" s="1"/>
  <c r="V232" i="1"/>
  <c r="U238" i="1" s="1"/>
  <c r="N232" i="1"/>
  <c r="M238" i="1" s="1"/>
  <c r="L232" i="1"/>
  <c r="K238" i="1" s="1"/>
  <c r="CY36" i="33"/>
  <c r="CZ36" i="33" s="1"/>
  <c r="CU36" i="33"/>
  <c r="IQ36" i="33"/>
  <c r="IU36" i="33"/>
  <c r="IV36" i="33" s="1"/>
  <c r="K477" i="1"/>
  <c r="J172" i="1"/>
  <c r="T172" i="1"/>
  <c r="N172" i="1"/>
  <c r="M178" i="1" s="1"/>
  <c r="V172" i="1"/>
  <c r="U178" i="1" s="1"/>
  <c r="U87" i="1"/>
  <c r="U88" i="1"/>
  <c r="I357" i="1"/>
  <c r="HA6" i="33"/>
  <c r="GW83" i="33" s="1"/>
  <c r="GW6" i="33"/>
  <c r="GV6" i="33"/>
  <c r="GU6" i="33"/>
  <c r="HB6" i="33"/>
  <c r="GY83" i="33" s="1"/>
  <c r="DR32" i="33"/>
  <c r="DS32" i="33" s="1"/>
  <c r="DN32" i="33"/>
  <c r="S194" i="1"/>
  <c r="I162" i="1"/>
  <c r="S327" i="1"/>
  <c r="M493" i="1"/>
  <c r="M492" i="1"/>
  <c r="I477" i="1"/>
  <c r="S57" i="1"/>
  <c r="M102" i="1"/>
  <c r="M104" i="1" s="1"/>
  <c r="L4" i="1"/>
  <c r="R4" i="1"/>
  <c r="J4" i="1"/>
  <c r="I13" i="1" s="1"/>
  <c r="N4" i="1"/>
  <c r="V4" i="1"/>
  <c r="U13" i="1" s="1"/>
  <c r="V13" i="1" s="1"/>
  <c r="U462" i="1"/>
  <c r="U464" i="1" s="1"/>
  <c r="S149" i="1"/>
  <c r="C28" i="3"/>
  <c r="I492" i="1"/>
  <c r="I493" i="1"/>
  <c r="S493" i="1"/>
  <c r="K462" i="1"/>
  <c r="C462" i="1" s="1"/>
  <c r="E462" i="1" s="1"/>
  <c r="Q477" i="1"/>
  <c r="Q479" i="1" s="1"/>
  <c r="M357" i="1"/>
  <c r="M358" i="1"/>
  <c r="N6" i="1"/>
  <c r="L6" i="1"/>
  <c r="T6" i="1"/>
  <c r="S12" i="1" s="1"/>
  <c r="N71" i="1"/>
  <c r="M73" i="1" s="1"/>
  <c r="T71" i="1"/>
  <c r="S73" i="1" s="1"/>
  <c r="R71" i="1"/>
  <c r="Q73" i="1" s="1"/>
  <c r="I132" i="1"/>
  <c r="K57" i="1"/>
  <c r="K102" i="1"/>
  <c r="S462" i="1"/>
  <c r="S464" i="1" s="1"/>
  <c r="Q357" i="1"/>
  <c r="Q358" i="1"/>
  <c r="F21" i="3"/>
  <c r="M149" i="1"/>
  <c r="K179" i="1"/>
  <c r="S477" i="1"/>
  <c r="S479" i="1" s="1"/>
  <c r="L37" i="1"/>
  <c r="T37" i="1"/>
  <c r="N37" i="1"/>
  <c r="U27" i="1"/>
  <c r="S208" i="1"/>
  <c r="S207" i="1"/>
  <c r="M462" i="1"/>
  <c r="M464" i="1" s="1"/>
  <c r="HP27" i="33"/>
  <c r="HN27" i="33"/>
  <c r="HT27" i="33"/>
  <c r="HP104" i="33" s="1"/>
  <c r="HU27" i="33"/>
  <c r="HR104" i="33" s="1"/>
  <c r="HO27" i="33"/>
  <c r="S267" i="1"/>
  <c r="S269" i="1" s="1"/>
  <c r="S132" i="1"/>
  <c r="S133" i="1"/>
  <c r="U357" i="1"/>
  <c r="U358" i="1"/>
  <c r="I87" i="1"/>
  <c r="Q57" i="1"/>
  <c r="M207" i="1"/>
  <c r="U117" i="1"/>
  <c r="U119" i="1" s="1"/>
  <c r="K447" i="1"/>
  <c r="I417" i="1"/>
  <c r="C417" i="1" s="1"/>
  <c r="E417" i="1" s="1"/>
  <c r="Q462" i="1"/>
  <c r="Q464" i="1" s="1"/>
  <c r="I284" i="1"/>
  <c r="FS12" i="33"/>
  <c r="EF21" i="33"/>
  <c r="BN258" i="1"/>
  <c r="CL258" i="1"/>
  <c r="DA258" i="1"/>
  <c r="GK21" i="33"/>
  <c r="BH258" i="1"/>
  <c r="DD258" i="1"/>
  <c r="HW21" i="33"/>
  <c r="BZ258" i="1"/>
  <c r="CR258" i="1"/>
  <c r="CU258" i="1"/>
  <c r="CX258" i="1"/>
  <c r="CO258" i="1"/>
  <c r="HD21" i="33"/>
  <c r="KB21" i="33"/>
  <c r="CT21" i="33"/>
  <c r="JI21" i="33"/>
  <c r="IP21" i="33"/>
  <c r="KU21" i="33"/>
  <c r="BH21" i="33"/>
  <c r="CI258" i="1"/>
  <c r="CF258" i="1"/>
  <c r="BT258" i="1"/>
  <c r="FR21" i="33"/>
  <c r="BI20" i="33"/>
  <c r="BM20" i="33"/>
  <c r="BN20" i="33" s="1"/>
  <c r="CU10" i="33"/>
  <c r="CY10" i="33"/>
  <c r="CZ10" i="33" s="1"/>
  <c r="DC318" i="1"/>
  <c r="FQ25" i="33"/>
  <c r="BJ318" i="1"/>
  <c r="BL318" i="1" s="1"/>
  <c r="CS25" i="33"/>
  <c r="BP318" i="1"/>
  <c r="BR318" i="1" s="1"/>
  <c r="IO25" i="33"/>
  <c r="CN318" i="1"/>
  <c r="CP318" i="1" s="1"/>
  <c r="CT318" i="1"/>
  <c r="CQ318" i="1"/>
  <c r="CS318" i="1" s="1"/>
  <c r="BZ25" i="33"/>
  <c r="BY318" i="1"/>
  <c r="CE318" i="1"/>
  <c r="HV25" i="33"/>
  <c r="CW318" i="1"/>
  <c r="BD318" i="1"/>
  <c r="CB318" i="1"/>
  <c r="CD318" i="1" s="1"/>
  <c r="BS318" i="1"/>
  <c r="B25" i="33"/>
  <c r="BV318" i="1"/>
  <c r="EX25" i="33"/>
  <c r="KA25" i="33"/>
  <c r="DL25" i="33"/>
  <c r="EE25" i="33"/>
  <c r="JH25" i="33"/>
  <c r="AN25" i="33"/>
  <c r="GP19" i="33"/>
  <c r="GQ19" i="33" s="1"/>
  <c r="GL19" i="33"/>
  <c r="KV10" i="33"/>
  <c r="BH33" i="33"/>
  <c r="BN438" i="1"/>
  <c r="BO438" i="1" s="1"/>
  <c r="C33" i="33"/>
  <c r="D33" i="33" s="1"/>
  <c r="CA33" i="33"/>
  <c r="JI33" i="33"/>
  <c r="EF33" i="33"/>
  <c r="CI438" i="1"/>
  <c r="CJ438" i="1" s="1"/>
  <c r="DA438" i="1"/>
  <c r="DB438" i="1" s="1"/>
  <c r="GK33" i="33"/>
  <c r="HD33" i="33"/>
  <c r="CX438" i="1"/>
  <c r="CY438" i="1" s="1"/>
  <c r="CC438" i="1"/>
  <c r="DD438" i="1"/>
  <c r="BZ438" i="1"/>
  <c r="CA438" i="1" s="1"/>
  <c r="EY33" i="33"/>
  <c r="CU438" i="1"/>
  <c r="KU33" i="33"/>
  <c r="BK438" i="1"/>
  <c r="BL438" i="1" s="1"/>
  <c r="BE438" i="1"/>
  <c r="BF438" i="1" s="1"/>
  <c r="AO33" i="33"/>
  <c r="CL438" i="1"/>
  <c r="KB33" i="33"/>
  <c r="BP393" i="1"/>
  <c r="IO30" i="33"/>
  <c r="CN393" i="1"/>
  <c r="CQ393" i="1"/>
  <c r="KA30" i="33"/>
  <c r="BV393" i="1"/>
  <c r="CW393" i="1"/>
  <c r="CT393" i="1"/>
  <c r="BZ30" i="33"/>
  <c r="HV30" i="33"/>
  <c r="JH30" i="33"/>
  <c r="EX30" i="33"/>
  <c r="BM393" i="1"/>
  <c r="CB393" i="1"/>
  <c r="GJ30" i="33"/>
  <c r="B30" i="33"/>
  <c r="BG30" i="33"/>
  <c r="HC30" i="33"/>
  <c r="CZ393" i="1"/>
  <c r="CK393" i="1"/>
  <c r="EE30" i="33"/>
  <c r="CH393" i="1"/>
  <c r="BD393" i="1"/>
  <c r="CE393" i="1"/>
  <c r="CG393" i="1" s="1"/>
  <c r="FQ30" i="33"/>
  <c r="BJ393" i="1"/>
  <c r="BL393" i="1" s="1"/>
  <c r="BG393" i="1"/>
  <c r="DC393" i="1"/>
  <c r="BY393" i="1"/>
  <c r="KT30" i="33"/>
  <c r="AN30" i="33"/>
  <c r="BZ29" i="33"/>
  <c r="HV29" i="33"/>
  <c r="IB29" i="33" s="1"/>
  <c r="IC29" i="33" s="1"/>
  <c r="BJ378" i="1"/>
  <c r="BD378" i="1"/>
  <c r="CQ378" i="1"/>
  <c r="EX29" i="33"/>
  <c r="BP378" i="1"/>
  <c r="BR378" i="1" s="1"/>
  <c r="CZ378" i="1"/>
  <c r="CB378" i="1"/>
  <c r="BV378" i="1"/>
  <c r="DL29" i="33"/>
  <c r="DR29" i="33" s="1"/>
  <c r="DS29" i="33" s="1"/>
  <c r="BG378" i="1"/>
  <c r="BI378" i="1" s="1"/>
  <c r="BY378" i="1"/>
  <c r="CT378" i="1"/>
  <c r="BG29" i="33"/>
  <c r="CN378" i="1"/>
  <c r="BS378" i="1"/>
  <c r="CK378" i="1"/>
  <c r="BM378" i="1"/>
  <c r="CH378" i="1"/>
  <c r="GJ29" i="33"/>
  <c r="DC378" i="1"/>
  <c r="B29" i="33"/>
  <c r="HC29" i="33"/>
  <c r="CS29" i="33"/>
  <c r="KT29" i="33"/>
  <c r="IO29" i="33"/>
  <c r="EE29" i="33"/>
  <c r="JH29" i="33"/>
  <c r="AN29" i="33"/>
  <c r="D8" i="33"/>
  <c r="H8" i="33"/>
  <c r="I8" i="33" s="1"/>
  <c r="GP20" i="33"/>
  <c r="GQ20" i="33" s="1"/>
  <c r="GL20" i="33"/>
  <c r="EZ7" i="33"/>
  <c r="CU14" i="33"/>
  <c r="CY14" i="33"/>
  <c r="CZ14" i="33" s="1"/>
  <c r="CC348" i="1"/>
  <c r="CD348" i="1" s="1"/>
  <c r="CO348" i="1"/>
  <c r="CP348" i="1" s="1"/>
  <c r="EY27" i="33"/>
  <c r="EZ27" i="33" s="1"/>
  <c r="CI348" i="1"/>
  <c r="CJ348" i="1" s="1"/>
  <c r="CU348" i="1"/>
  <c r="CV348" i="1" s="1"/>
  <c r="BZ348" i="1"/>
  <c r="CA348" i="1" s="1"/>
  <c r="DD348" i="1"/>
  <c r="GK27" i="33"/>
  <c r="BN348" i="1"/>
  <c r="BO348" i="1" s="1"/>
  <c r="KU27" i="33"/>
  <c r="CL348" i="1"/>
  <c r="CM348" i="1" s="1"/>
  <c r="HD27" i="33"/>
  <c r="C27" i="33"/>
  <c r="D27" i="33" s="1"/>
  <c r="BH27" i="33"/>
  <c r="BT348" i="1"/>
  <c r="BU348" i="1" s="1"/>
  <c r="CT27" i="33"/>
  <c r="CF348" i="1"/>
  <c r="CG348" i="1" s="1"/>
  <c r="BK348" i="1"/>
  <c r="KB27" i="33"/>
  <c r="FR27" i="33"/>
  <c r="DA348" i="1"/>
  <c r="DB348" i="1" s="1"/>
  <c r="BE348" i="1"/>
  <c r="BF348" i="1" s="1"/>
  <c r="CX348" i="1"/>
  <c r="CY348" i="1" s="1"/>
  <c r="HW27" i="33"/>
  <c r="HX27" i="33" s="1"/>
  <c r="EF27" i="33"/>
  <c r="EG27" i="33" s="1"/>
  <c r="JI27" i="33"/>
  <c r="JJ27" i="33" s="1"/>
  <c r="AO27" i="33"/>
  <c r="AP27" i="33" s="1"/>
  <c r="BE318" i="1"/>
  <c r="C25" i="33"/>
  <c r="CL318" i="1"/>
  <c r="CM318" i="1" s="1"/>
  <c r="BN318" i="1"/>
  <c r="BO318" i="1" s="1"/>
  <c r="KB25" i="33"/>
  <c r="JI25" i="33"/>
  <c r="CU318" i="1"/>
  <c r="BZ318" i="1"/>
  <c r="CA318" i="1" s="1"/>
  <c r="DD318" i="1"/>
  <c r="DA318" i="1"/>
  <c r="DB318" i="1" s="1"/>
  <c r="CI318" i="1"/>
  <c r="CJ318" i="1" s="1"/>
  <c r="EF25" i="33"/>
  <c r="CF318" i="1"/>
  <c r="BT318" i="1"/>
  <c r="BH318" i="1"/>
  <c r="BI318" i="1" s="1"/>
  <c r="HD25" i="33"/>
  <c r="BH25" i="33"/>
  <c r="CX318" i="1"/>
  <c r="GK25" i="33"/>
  <c r="FR25" i="33"/>
  <c r="CT25" i="33"/>
  <c r="KU25" i="33"/>
  <c r="LN19" i="33"/>
  <c r="LM20" i="33"/>
  <c r="LN18" i="33"/>
  <c r="LO18" i="33" s="1"/>
  <c r="A60" i="33"/>
  <c r="LN11" i="33"/>
  <c r="LM5" i="33"/>
  <c r="LN4" i="33"/>
  <c r="LM7" i="33"/>
  <c r="LM19" i="33"/>
  <c r="LM16" i="33"/>
  <c r="LM17" i="33"/>
  <c r="LN13" i="33"/>
  <c r="LM14" i="33"/>
  <c r="LN20" i="33"/>
  <c r="LM8" i="33"/>
  <c r="LM22" i="33"/>
  <c r="LS22" i="33" s="1"/>
  <c r="LT22" i="33" s="1"/>
  <c r="LM10" i="33"/>
  <c r="LM13" i="33"/>
  <c r="LN7" i="33"/>
  <c r="LN10" i="33"/>
  <c r="LM11" i="33"/>
  <c r="LM34" i="33"/>
  <c r="LM6" i="33"/>
  <c r="LN16" i="33"/>
  <c r="LM36" i="33"/>
  <c r="LN35" i="33"/>
  <c r="LN27" i="33"/>
  <c r="LM25" i="33"/>
  <c r="LM31" i="33"/>
  <c r="LN24" i="33"/>
  <c r="LM26" i="33"/>
  <c r="LN36" i="33"/>
  <c r="LM23" i="33"/>
  <c r="LN37" i="33"/>
  <c r="LN32" i="33"/>
  <c r="LN34" i="33"/>
  <c r="LM35" i="33"/>
  <c r="LM24" i="33"/>
  <c r="LM29" i="33"/>
  <c r="LN25" i="33"/>
  <c r="LN21" i="33"/>
  <c r="LN23" i="33"/>
  <c r="LN28" i="33"/>
  <c r="LN26" i="33"/>
  <c r="LM33" i="33"/>
  <c r="LM32" i="33"/>
  <c r="LN33" i="33"/>
  <c r="LM30" i="33"/>
  <c r="LM27" i="33"/>
  <c r="LN29" i="33"/>
  <c r="LM37" i="33"/>
  <c r="LN22" i="33"/>
  <c r="LN30" i="33"/>
  <c r="LM28" i="33"/>
  <c r="BW453" i="1"/>
  <c r="BE453" i="1"/>
  <c r="C34" i="33"/>
  <c r="HW34" i="33"/>
  <c r="CX453" i="1"/>
  <c r="CO453" i="1"/>
  <c r="DM34" i="33"/>
  <c r="DA453" i="1"/>
  <c r="IP34" i="33"/>
  <c r="CR453" i="1"/>
  <c r="BH34" i="33"/>
  <c r="CL453" i="1"/>
  <c r="KU34" i="33"/>
  <c r="BT453" i="1"/>
  <c r="BU453" i="1" s="1"/>
  <c r="HD34" i="33"/>
  <c r="BH453" i="1"/>
  <c r="BN453" i="1"/>
  <c r="CT34" i="33"/>
  <c r="BZ453" i="1"/>
  <c r="FR34" i="33"/>
  <c r="CF453" i="1"/>
  <c r="KB34" i="33"/>
  <c r="EF34" i="33"/>
  <c r="CT423" i="1"/>
  <c r="CV423" i="1" s="1"/>
  <c r="CZ423" i="1"/>
  <c r="KT32" i="33"/>
  <c r="EE32" i="33"/>
  <c r="JH32" i="33"/>
  <c r="HC32" i="33"/>
  <c r="BJ423" i="1"/>
  <c r="BL423" i="1" s="1"/>
  <c r="GJ32" i="33"/>
  <c r="CK423" i="1"/>
  <c r="BG423" i="1"/>
  <c r="DC423" i="1"/>
  <c r="DE423" i="1" s="1"/>
  <c r="BP423" i="1"/>
  <c r="BR423" i="1" s="1"/>
  <c r="EX32" i="33"/>
  <c r="BZ32" i="33"/>
  <c r="CH423" i="1"/>
  <c r="CB423" i="1"/>
  <c r="AN32" i="33"/>
  <c r="CY13" i="33"/>
  <c r="CZ13" i="33" s="1"/>
  <c r="CU13" i="33"/>
  <c r="DC333" i="1"/>
  <c r="B26" i="33"/>
  <c r="CH333" i="1"/>
  <c r="KT26" i="33"/>
  <c r="CB333" i="1"/>
  <c r="KA26" i="33"/>
  <c r="BS333" i="1"/>
  <c r="BU333" i="1" s="1"/>
  <c r="BP333" i="1"/>
  <c r="CW333" i="1"/>
  <c r="EX26" i="33"/>
  <c r="BD333" i="1"/>
  <c r="HC26" i="33"/>
  <c r="BG26" i="33"/>
  <c r="CZ333" i="1"/>
  <c r="BZ26" i="33"/>
  <c r="HV26" i="33"/>
  <c r="CE333" i="1"/>
  <c r="CS26" i="33"/>
  <c r="CT333" i="1"/>
  <c r="CN333" i="1"/>
  <c r="GJ26" i="33"/>
  <c r="GP26" i="33" s="1"/>
  <c r="GQ26" i="33" s="1"/>
  <c r="CK333" i="1"/>
  <c r="FQ26" i="33"/>
  <c r="BG333" i="1"/>
  <c r="BI333" i="1" s="1"/>
  <c r="BM333" i="1"/>
  <c r="JH26" i="33"/>
  <c r="GJ35" i="33"/>
  <c r="BP468" i="1"/>
  <c r="BR468" i="1" s="1"/>
  <c r="BG468" i="1"/>
  <c r="CN468" i="1"/>
  <c r="CP468" i="1" s="1"/>
  <c r="FQ35" i="33"/>
  <c r="BV468" i="1"/>
  <c r="BX468" i="1" s="1"/>
  <c r="CE468" i="1"/>
  <c r="CH468" i="1"/>
  <c r="HV35" i="33"/>
  <c r="BZ35" i="33"/>
  <c r="BG35" i="33"/>
  <c r="IO35" i="33"/>
  <c r="CW468" i="1"/>
  <c r="CY468" i="1" s="1"/>
  <c r="KA35" i="33"/>
  <c r="BM468" i="1"/>
  <c r="BO468" i="1" s="1"/>
  <c r="BS468" i="1"/>
  <c r="BU468" i="1" s="1"/>
  <c r="DL35" i="33"/>
  <c r="CK468" i="1"/>
  <c r="CM468" i="1" s="1"/>
  <c r="CS35" i="33"/>
  <c r="DC468" i="1"/>
  <c r="DE468" i="1" s="1"/>
  <c r="BY468" i="1"/>
  <c r="CA468" i="1" s="1"/>
  <c r="HC35" i="33"/>
  <c r="CQ468" i="1"/>
  <c r="CS468" i="1" s="1"/>
  <c r="EE35" i="33"/>
  <c r="FQ23" i="33"/>
  <c r="BY288" i="1"/>
  <c r="CE288" i="1"/>
  <c r="CG288" i="1" s="1"/>
  <c r="CK288" i="1"/>
  <c r="CM288" i="1" s="1"/>
  <c r="CH288" i="1"/>
  <c r="CJ288" i="1" s="1"/>
  <c r="BJ288" i="1"/>
  <c r="BL288" i="1" s="1"/>
  <c r="EX23" i="33"/>
  <c r="CT288" i="1"/>
  <c r="CV288" i="1" s="1"/>
  <c r="BP288" i="1"/>
  <c r="BR288" i="1" s="1"/>
  <c r="GJ23" i="33"/>
  <c r="HV23" i="33"/>
  <c r="HC23" i="33"/>
  <c r="CB288" i="1"/>
  <c r="BD288" i="1"/>
  <c r="BV288" i="1"/>
  <c r="CN288" i="1"/>
  <c r="CP288" i="1" s="1"/>
  <c r="B23" i="33"/>
  <c r="IO23" i="33"/>
  <c r="BZ23" i="33"/>
  <c r="CQ288" i="1"/>
  <c r="CS288" i="1" s="1"/>
  <c r="DL23" i="33"/>
  <c r="JH23" i="33"/>
  <c r="EE23" i="33"/>
  <c r="AN23" i="33"/>
  <c r="EX37" i="33"/>
  <c r="CB498" i="1"/>
  <c r="CH498" i="1"/>
  <c r="B37" i="33"/>
  <c r="CZ498" i="1"/>
  <c r="GJ37" i="33"/>
  <c r="KT37" i="33"/>
  <c r="BS498" i="1"/>
  <c r="BD498" i="1"/>
  <c r="BG498" i="1"/>
  <c r="BI498" i="1" s="1"/>
  <c r="BP498" i="1"/>
  <c r="HV37" i="33"/>
  <c r="CE498" i="1"/>
  <c r="CG498" i="1" s="1"/>
  <c r="BY498" i="1"/>
  <c r="FQ37" i="33"/>
  <c r="KA37" i="33"/>
  <c r="DC498" i="1"/>
  <c r="CS37" i="33"/>
  <c r="CN498" i="1"/>
  <c r="BZ37" i="33"/>
  <c r="HC37" i="33"/>
  <c r="IO37" i="33"/>
  <c r="EE37" i="33"/>
  <c r="BG37" i="33"/>
  <c r="CW498" i="1"/>
  <c r="BM498" i="1"/>
  <c r="CK498" i="1"/>
  <c r="CQ498" i="1"/>
  <c r="CS498" i="1" s="1"/>
  <c r="JJ8" i="33"/>
  <c r="JN8" i="33"/>
  <c r="JO8" i="33" s="1"/>
  <c r="BM18" i="33"/>
  <c r="BN18" i="33" s="1"/>
  <c r="CY17" i="33"/>
  <c r="CZ17" i="33" s="1"/>
  <c r="CU17" i="33"/>
  <c r="BH393" i="1"/>
  <c r="BN393" i="1"/>
  <c r="HD30" i="33"/>
  <c r="CL393" i="1"/>
  <c r="CI393" i="1"/>
  <c r="GK30" i="33"/>
  <c r="CC393" i="1"/>
  <c r="BE393" i="1"/>
  <c r="BH30" i="33"/>
  <c r="C30" i="33"/>
  <c r="KB30" i="33"/>
  <c r="EY30" i="33"/>
  <c r="HW30" i="33"/>
  <c r="CX393" i="1"/>
  <c r="BQ393" i="1"/>
  <c r="BZ393" i="1"/>
  <c r="CR393" i="1"/>
  <c r="DM30" i="33"/>
  <c r="CO393" i="1"/>
  <c r="CA30" i="33"/>
  <c r="DD393" i="1"/>
  <c r="CU393" i="1"/>
  <c r="CT30" i="33"/>
  <c r="JI30" i="33"/>
  <c r="BT393" i="1"/>
  <c r="BU393" i="1" s="1"/>
  <c r="DA393" i="1"/>
  <c r="BW393" i="1"/>
  <c r="IP30" i="33"/>
  <c r="KU30" i="33"/>
  <c r="EF30" i="33"/>
  <c r="HW29" i="33"/>
  <c r="BE378" i="1"/>
  <c r="HD29" i="33"/>
  <c r="DA378" i="1"/>
  <c r="EF29" i="33"/>
  <c r="C29" i="33"/>
  <c r="DD378" i="1"/>
  <c r="CL378" i="1"/>
  <c r="KU29" i="33"/>
  <c r="CC378" i="1"/>
  <c r="CT29" i="33"/>
  <c r="BH29" i="33"/>
  <c r="CF378" i="1"/>
  <c r="CG378" i="1" s="1"/>
  <c r="DM29" i="33"/>
  <c r="DN29" i="33" s="1"/>
  <c r="BN378" i="1"/>
  <c r="JI29" i="33"/>
  <c r="FR29" i="33"/>
  <c r="EY29" i="33"/>
  <c r="KB29" i="33"/>
  <c r="BW378" i="1"/>
  <c r="CU378" i="1"/>
  <c r="BZ378" i="1"/>
  <c r="GK29" i="33"/>
  <c r="CO378" i="1"/>
  <c r="CX378" i="1"/>
  <c r="CY378" i="1" s="1"/>
  <c r="BK378" i="1"/>
  <c r="CI378" i="1"/>
  <c r="BT378" i="1"/>
  <c r="AO29" i="33"/>
  <c r="GK24" i="33"/>
  <c r="CC303" i="1"/>
  <c r="CI303" i="1"/>
  <c r="EY24" i="33"/>
  <c r="BW303" i="1"/>
  <c r="IP24" i="33"/>
  <c r="DM24" i="33"/>
  <c r="BQ303" i="1"/>
  <c r="BK303" i="1"/>
  <c r="BN303" i="1"/>
  <c r="BZ303" i="1"/>
  <c r="BH24" i="33"/>
  <c r="CR303" i="1"/>
  <c r="CS303" i="1" s="1"/>
  <c r="CA24" i="33"/>
  <c r="C24" i="33"/>
  <c r="BE303" i="1"/>
  <c r="BF303" i="1" s="1"/>
  <c r="CO303" i="1"/>
  <c r="CU303" i="1"/>
  <c r="DA303" i="1"/>
  <c r="KU24" i="33"/>
  <c r="HW24" i="33"/>
  <c r="CX303" i="1"/>
  <c r="KB24" i="33"/>
  <c r="JI24" i="33"/>
  <c r="EF24" i="33"/>
  <c r="AO24" i="33"/>
  <c r="GP17" i="33"/>
  <c r="GQ17" i="33" s="1"/>
  <c r="GL17" i="33"/>
  <c r="CW423" i="1"/>
  <c r="CY4" i="33"/>
  <c r="CZ4" i="33" s="1"/>
  <c r="CU4" i="33"/>
  <c r="CE363" i="1"/>
  <c r="CG363" i="1" s="1"/>
  <c r="GJ28" i="33"/>
  <c r="IO28" i="33"/>
  <c r="KA28" i="33"/>
  <c r="HV28" i="33"/>
  <c r="BZ28" i="33"/>
  <c r="CW363" i="1"/>
  <c r="BG363" i="1"/>
  <c r="BI363" i="1" s="1"/>
  <c r="JH28" i="33"/>
  <c r="DL28" i="33"/>
  <c r="DC363" i="1"/>
  <c r="DE363" i="1" s="1"/>
  <c r="CH363" i="1"/>
  <c r="CJ363" i="1" s="1"/>
  <c r="BP363" i="1"/>
  <c r="BR363" i="1" s="1"/>
  <c r="FQ28" i="33"/>
  <c r="CS28" i="33"/>
  <c r="HC28" i="33"/>
  <c r="CN363" i="1"/>
  <c r="CP363" i="1" s="1"/>
  <c r="AN28" i="33"/>
  <c r="BD363" i="1"/>
  <c r="BS363" i="1"/>
  <c r="BV363" i="1"/>
  <c r="BX363" i="1" s="1"/>
  <c r="BJ363" i="1"/>
  <c r="BL363" i="1" s="1"/>
  <c r="BG28" i="33"/>
  <c r="BM363" i="1"/>
  <c r="BO363" i="1" s="1"/>
  <c r="CT363" i="1"/>
  <c r="CV363" i="1" s="1"/>
  <c r="CQ363" i="1"/>
  <c r="CS363" i="1" s="1"/>
  <c r="KT28" i="33"/>
  <c r="CZ363" i="1"/>
  <c r="DB363" i="1" s="1"/>
  <c r="CK363" i="1"/>
  <c r="CM363" i="1" s="1"/>
  <c r="B28" i="33"/>
  <c r="CI333" i="1"/>
  <c r="EF26" i="33"/>
  <c r="CC333" i="1"/>
  <c r="CU333" i="1"/>
  <c r="BE333" i="1"/>
  <c r="C26" i="33"/>
  <c r="BZ333" i="1"/>
  <c r="CA333" i="1" s="1"/>
  <c r="HD26" i="33"/>
  <c r="CA26" i="33"/>
  <c r="CX333" i="1"/>
  <c r="HW26" i="33"/>
  <c r="BQ333" i="1"/>
  <c r="BH26" i="33"/>
  <c r="CO333" i="1"/>
  <c r="BN333" i="1"/>
  <c r="IP26" i="33"/>
  <c r="CR333" i="1"/>
  <c r="CS333" i="1" s="1"/>
  <c r="CL333" i="1"/>
  <c r="BK333" i="1"/>
  <c r="BL333" i="1" s="1"/>
  <c r="BW333" i="1"/>
  <c r="GK26" i="33"/>
  <c r="JI26" i="33"/>
  <c r="KU26" i="33"/>
  <c r="DA333" i="1"/>
  <c r="EY26" i="33"/>
  <c r="DM26" i="33"/>
  <c r="KB26" i="33"/>
  <c r="AO26" i="33"/>
  <c r="AP26" i="33" s="1"/>
  <c r="BM303" i="1"/>
  <c r="DC303" i="1"/>
  <c r="EE24" i="33"/>
  <c r="BV303" i="1"/>
  <c r="BS303" i="1"/>
  <c r="BU303" i="1" s="1"/>
  <c r="BG303" i="1"/>
  <c r="BI303" i="1" s="1"/>
  <c r="CW303" i="1"/>
  <c r="HC24" i="33"/>
  <c r="CT303" i="1"/>
  <c r="CZ303" i="1"/>
  <c r="KT24" i="33"/>
  <c r="BY303" i="1"/>
  <c r="BJ303" i="1"/>
  <c r="CK303" i="1"/>
  <c r="CM303" i="1" s="1"/>
  <c r="BG24" i="33"/>
  <c r="CH303" i="1"/>
  <c r="KA24" i="33"/>
  <c r="CE303" i="1"/>
  <c r="GJ24" i="33"/>
  <c r="FQ24" i="33"/>
  <c r="CS24" i="33"/>
  <c r="JH24" i="33"/>
  <c r="AN24" i="33"/>
  <c r="KA32" i="33"/>
  <c r="BG22" i="33"/>
  <c r="FQ22" i="33"/>
  <c r="IO22" i="33"/>
  <c r="BY273" i="1"/>
  <c r="CA273" i="1" s="1"/>
  <c r="BV273" i="1"/>
  <c r="BX273" i="1" s="1"/>
  <c r="CN273" i="1"/>
  <c r="DC273" i="1"/>
  <c r="DE273" i="1" s="1"/>
  <c r="BM273" i="1"/>
  <c r="BO273" i="1" s="1"/>
  <c r="HC22" i="33"/>
  <c r="CW273" i="1"/>
  <c r="CY273" i="1" s="1"/>
  <c r="KT22" i="33"/>
  <c r="CS22" i="33"/>
  <c r="CQ273" i="1"/>
  <c r="CS273" i="1" s="1"/>
  <c r="BG273" i="1"/>
  <c r="BI273" i="1" s="1"/>
  <c r="CK273" i="1"/>
  <c r="CM273" i="1" s="1"/>
  <c r="GJ22" i="33"/>
  <c r="KA22" i="33"/>
  <c r="CH273" i="1"/>
  <c r="BD273" i="1"/>
  <c r="BF273" i="1" s="1"/>
  <c r="CZ273" i="1"/>
  <c r="BS273" i="1"/>
  <c r="HV22" i="33"/>
  <c r="BP273" i="1"/>
  <c r="BR273" i="1" s="1"/>
  <c r="CE273" i="1"/>
  <c r="CG273" i="1" s="1"/>
  <c r="B22" i="33"/>
  <c r="BZ22" i="33"/>
  <c r="DL22" i="33"/>
  <c r="EE22" i="33"/>
  <c r="CK408" i="1"/>
  <c r="BD408" i="1"/>
  <c r="B31" i="33"/>
  <c r="H31" i="33" s="1"/>
  <c r="I31" i="33" s="1"/>
  <c r="CE408" i="1"/>
  <c r="BV408" i="1"/>
  <c r="CB408" i="1"/>
  <c r="FQ31" i="33"/>
  <c r="BJ408" i="1"/>
  <c r="BS408" i="1"/>
  <c r="CT408" i="1"/>
  <c r="BZ31" i="33"/>
  <c r="CH408" i="1"/>
  <c r="CN408" i="1"/>
  <c r="CQ408" i="1"/>
  <c r="IO31" i="33"/>
  <c r="CS31" i="33"/>
  <c r="BG408" i="1"/>
  <c r="DC408" i="1"/>
  <c r="KA31" i="33"/>
  <c r="HV31" i="33"/>
  <c r="BY408" i="1"/>
  <c r="CZ408" i="1"/>
  <c r="CW408" i="1"/>
  <c r="DL31" i="33"/>
  <c r="BG31" i="33"/>
  <c r="KT31" i="33"/>
  <c r="BP408" i="1"/>
  <c r="BM408" i="1"/>
  <c r="GJ31" i="33"/>
  <c r="EE31" i="33"/>
  <c r="JH31" i="33"/>
  <c r="AN31" i="33"/>
  <c r="IU7" i="33"/>
  <c r="IV7" i="33" s="1"/>
  <c r="IQ7" i="33"/>
  <c r="HI31" i="33"/>
  <c r="HJ31" i="33" s="1"/>
  <c r="HE31" i="33"/>
  <c r="LS4" i="33"/>
  <c r="LT4" i="33" s="1"/>
  <c r="LO4" i="33"/>
  <c r="FS5" i="33"/>
  <c r="FW5" i="33"/>
  <c r="FX5" i="33" s="1"/>
  <c r="DN12" i="33"/>
  <c r="DR12" i="33"/>
  <c r="DS12" i="33" s="1"/>
  <c r="FW20" i="33"/>
  <c r="FX20" i="33" s="1"/>
  <c r="FS20" i="33"/>
  <c r="DN9" i="33"/>
  <c r="DR9" i="33"/>
  <c r="DS9" i="33" s="1"/>
  <c r="HE7" i="33"/>
  <c r="HI7" i="33"/>
  <c r="HJ7" i="33" s="1"/>
  <c r="LS18" i="33"/>
  <c r="LT18" i="33" s="1"/>
  <c r="FS14" i="33"/>
  <c r="FW14" i="33"/>
  <c r="FX14" i="33" s="1"/>
  <c r="FW18" i="33"/>
  <c r="FX18" i="33" s="1"/>
  <c r="FS18" i="33"/>
  <c r="FS8" i="33"/>
  <c r="FW8" i="33"/>
  <c r="FX8" i="33" s="1"/>
  <c r="FS7" i="33"/>
  <c r="FW7" i="33"/>
  <c r="FX7" i="33" s="1"/>
  <c r="FW9" i="33"/>
  <c r="FX9" i="33" s="1"/>
  <c r="FS9" i="33"/>
  <c r="DN24" i="33"/>
  <c r="DR24" i="33"/>
  <c r="DS24" i="33" s="1"/>
  <c r="DN14" i="33"/>
  <c r="DR14" i="33"/>
  <c r="DS14" i="33" s="1"/>
  <c r="CT31" i="33"/>
  <c r="BQ408" i="1"/>
  <c r="IP31" i="33"/>
  <c r="CR408" i="1"/>
  <c r="CA31" i="33"/>
  <c r="CO408" i="1"/>
  <c r="BT408" i="1"/>
  <c r="LN31" i="33"/>
  <c r="CX408" i="1"/>
  <c r="DD408" i="1"/>
  <c r="KB31" i="33"/>
  <c r="HW31" i="33"/>
  <c r="C31" i="33"/>
  <c r="BH31" i="33"/>
  <c r="EY31" i="33"/>
  <c r="BE408" i="1"/>
  <c r="CU408" i="1"/>
  <c r="CC408" i="1"/>
  <c r="FR31" i="33"/>
  <c r="CI408" i="1"/>
  <c r="DA408" i="1"/>
  <c r="CF408" i="1"/>
  <c r="JI31" i="33"/>
  <c r="BK408" i="1"/>
  <c r="AO31" i="33"/>
  <c r="BN408" i="1"/>
  <c r="BW408" i="1"/>
  <c r="BX408" i="1" s="1"/>
  <c r="CL408" i="1"/>
  <c r="HD31" i="33"/>
  <c r="DM31" i="33"/>
  <c r="EF31" i="33"/>
  <c r="BZ408" i="1"/>
  <c r="GK31" i="33"/>
  <c r="KU31" i="33"/>
  <c r="BH408" i="1"/>
  <c r="FD17" i="33"/>
  <c r="FE17" i="33" s="1"/>
  <c r="EZ17" i="33"/>
  <c r="V14" i="33"/>
  <c r="V5" i="33"/>
  <c r="V20" i="33"/>
  <c r="V16" i="33"/>
  <c r="U12" i="33"/>
  <c r="A44" i="33"/>
  <c r="U14" i="33"/>
  <c r="V4" i="33"/>
  <c r="U13" i="33"/>
  <c r="U9" i="33"/>
  <c r="W41" i="33"/>
  <c r="U7" i="33"/>
  <c r="U17" i="33"/>
  <c r="V18" i="33"/>
  <c r="V15" i="33"/>
  <c r="U21" i="33"/>
  <c r="U20" i="33"/>
  <c r="U5" i="33"/>
  <c r="V13" i="33"/>
  <c r="U4" i="33"/>
  <c r="V12" i="33"/>
  <c r="V19" i="33"/>
  <c r="V11" i="33"/>
  <c r="V6" i="33"/>
  <c r="U16" i="33"/>
  <c r="U35" i="33"/>
  <c r="V17" i="33"/>
  <c r="V7" i="33"/>
  <c r="V9" i="33"/>
  <c r="U15" i="33"/>
  <c r="V35" i="33"/>
  <c r="U19" i="33"/>
  <c r="U18" i="33"/>
  <c r="V8" i="33"/>
  <c r="U8" i="33"/>
  <c r="U10" i="33"/>
  <c r="V10" i="33"/>
  <c r="V27" i="33"/>
  <c r="V36" i="33"/>
  <c r="U6" i="33"/>
  <c r="V30" i="33"/>
  <c r="V37" i="33"/>
  <c r="U22" i="33"/>
  <c r="V34" i="33"/>
  <c r="U11" i="33"/>
  <c r="V32" i="33"/>
  <c r="U23" i="33"/>
  <c r="U24" i="33"/>
  <c r="U26" i="33"/>
  <c r="AA26" i="33" s="1"/>
  <c r="AB26" i="33" s="1"/>
  <c r="U31" i="33"/>
  <c r="U36" i="33"/>
  <c r="V24" i="33"/>
  <c r="U25" i="33"/>
  <c r="U29" i="33"/>
  <c r="V21" i="33"/>
  <c r="V28" i="33"/>
  <c r="V26" i="33"/>
  <c r="V23" i="33"/>
  <c r="U37" i="33"/>
  <c r="V29" i="33"/>
  <c r="U27" i="33"/>
  <c r="U32" i="33"/>
  <c r="V31" i="33"/>
  <c r="V25" i="33"/>
  <c r="U34" i="33"/>
  <c r="U30" i="33"/>
  <c r="V22" i="33"/>
  <c r="U33" i="33"/>
  <c r="V33" i="33"/>
  <c r="U28" i="33"/>
  <c r="BG258" i="1"/>
  <c r="BM258" i="1"/>
  <c r="BG21" i="33"/>
  <c r="DC258" i="1"/>
  <c r="GJ21" i="33"/>
  <c r="CW258" i="1"/>
  <c r="CY258" i="1" s="1"/>
  <c r="HC21" i="33"/>
  <c r="BP258" i="1"/>
  <c r="BR258" i="1" s="1"/>
  <c r="DL21" i="33"/>
  <c r="CE258" i="1"/>
  <c r="CH258" i="1"/>
  <c r="KT21" i="33"/>
  <c r="BJ258" i="1"/>
  <c r="BL258" i="1" s="1"/>
  <c r="BY258" i="1"/>
  <c r="CA258" i="1" s="1"/>
  <c r="CB258" i="1"/>
  <c r="CD258" i="1" s="1"/>
  <c r="IO21" i="33"/>
  <c r="KA21" i="33"/>
  <c r="LM21" i="33"/>
  <c r="BV258" i="1"/>
  <c r="BX258" i="1" s="1"/>
  <c r="CQ258" i="1"/>
  <c r="B21" i="33"/>
  <c r="EE21" i="33"/>
  <c r="CN258" i="1"/>
  <c r="EX21" i="33"/>
  <c r="BD258" i="1"/>
  <c r="BF258" i="1" s="1"/>
  <c r="BZ21" i="33"/>
  <c r="CT258" i="1"/>
  <c r="FQ21" i="33"/>
  <c r="BS258" i="1"/>
  <c r="BU258" i="1" s="1"/>
  <c r="JH21" i="33"/>
  <c r="CK258" i="1"/>
  <c r="CZ258" i="1"/>
  <c r="DB258" i="1" s="1"/>
  <c r="CS21" i="33"/>
  <c r="HV21" i="33"/>
  <c r="AN21" i="33"/>
  <c r="IU8" i="33"/>
  <c r="IV8" i="33" s="1"/>
  <c r="IQ8" i="33"/>
  <c r="LS15" i="33"/>
  <c r="LT15" i="33" s="1"/>
  <c r="LO15" i="33"/>
  <c r="FS16" i="33"/>
  <c r="FW16" i="33"/>
  <c r="FX16" i="33" s="1"/>
  <c r="FW15" i="33"/>
  <c r="FX15" i="33" s="1"/>
  <c r="FS15" i="33"/>
  <c r="DN4" i="33"/>
  <c r="DR4" i="33"/>
  <c r="DS4" i="33" s="1"/>
  <c r="DR11" i="33"/>
  <c r="DS11" i="33" s="1"/>
  <c r="LO9" i="33"/>
  <c r="LS9" i="33"/>
  <c r="LT9" i="33" s="1"/>
  <c r="LO12" i="33"/>
  <c r="LS12" i="33"/>
  <c r="LT12" i="33" s="1"/>
  <c r="DN6" i="33"/>
  <c r="DR6" i="33"/>
  <c r="DS6" i="33" s="1"/>
  <c r="EZ31" i="33"/>
  <c r="FD31" i="33"/>
  <c r="FE31" i="33" s="1"/>
  <c r="IQ5" i="33"/>
  <c r="IU5" i="33"/>
  <c r="IV5" i="33" s="1"/>
  <c r="FS17" i="33"/>
  <c r="FW17" i="33"/>
  <c r="FX17" i="33" s="1"/>
  <c r="DR30" i="33"/>
  <c r="DS30" i="33" s="1"/>
  <c r="DN30" i="33"/>
  <c r="V504" i="1"/>
  <c r="L504" i="1"/>
  <c r="N504" i="1"/>
  <c r="R504" i="1"/>
  <c r="J504" i="1"/>
  <c r="V502" i="1"/>
  <c r="I59" i="1"/>
  <c r="D4" i="3"/>
  <c r="Q222" i="1"/>
  <c r="Q223" i="1"/>
  <c r="Y15" i="3"/>
  <c r="I222" i="1"/>
  <c r="I223" i="1"/>
  <c r="M222" i="1"/>
  <c r="M223" i="1"/>
  <c r="K223" i="1"/>
  <c r="K222" i="1"/>
  <c r="R501" i="1"/>
  <c r="J501" i="1"/>
  <c r="T501" i="1"/>
  <c r="S507" i="1" s="1"/>
  <c r="L502" i="1"/>
  <c r="M508" i="1"/>
  <c r="D34" i="3"/>
  <c r="BR498" i="1" l="1"/>
  <c r="BO498" i="1"/>
  <c r="CM498" i="1"/>
  <c r="CP498" i="1"/>
  <c r="BU498" i="1"/>
  <c r="DB498" i="1"/>
  <c r="CM483" i="1"/>
  <c r="CV483" i="1"/>
  <c r="BR483" i="1"/>
  <c r="CG468" i="1"/>
  <c r="BI468" i="1"/>
  <c r="CJ468" i="1"/>
  <c r="BO453" i="1"/>
  <c r="HE34" i="33"/>
  <c r="CS453" i="1"/>
  <c r="CP453" i="1"/>
  <c r="IQ33" i="33"/>
  <c r="CM438" i="1"/>
  <c r="CD438" i="1"/>
  <c r="BI33" i="33"/>
  <c r="FD33" i="33"/>
  <c r="FE33" i="33" s="1"/>
  <c r="FS33" i="33"/>
  <c r="DE438" i="1"/>
  <c r="EG33" i="33"/>
  <c r="CV438" i="1"/>
  <c r="BI438" i="1"/>
  <c r="CS423" i="1"/>
  <c r="IB32" i="33"/>
  <c r="IC32" i="33" s="1"/>
  <c r="HX32" i="33"/>
  <c r="CM423" i="1"/>
  <c r="DB423" i="1"/>
  <c r="BL408" i="1"/>
  <c r="FW29" i="33"/>
  <c r="FX29" i="33" s="1"/>
  <c r="FS29" i="33"/>
  <c r="CS378" i="1"/>
  <c r="EK28" i="33"/>
  <c r="EL28" i="33" s="1"/>
  <c r="EG28" i="33"/>
  <c r="CY363" i="1"/>
  <c r="BF363" i="1"/>
  <c r="BU363" i="1"/>
  <c r="BL348" i="1"/>
  <c r="DE348" i="1"/>
  <c r="BX333" i="1"/>
  <c r="CP333" i="1"/>
  <c r="DE333" i="1"/>
  <c r="CG333" i="1"/>
  <c r="BX318" i="1"/>
  <c r="CP303" i="1"/>
  <c r="CD303" i="1"/>
  <c r="CG303" i="1"/>
  <c r="BX288" i="1"/>
  <c r="CD288" i="1"/>
  <c r="DE288" i="1"/>
  <c r="CA288" i="1"/>
  <c r="BF288" i="1"/>
  <c r="AP22" i="33"/>
  <c r="CV273" i="1"/>
  <c r="CD273" i="1"/>
  <c r="BU273" i="1"/>
  <c r="CP273" i="1"/>
  <c r="DB273" i="1"/>
  <c r="CJ273" i="1"/>
  <c r="BI258" i="1"/>
  <c r="KV33" i="33"/>
  <c r="KZ33" i="33"/>
  <c r="LA33" i="33" s="1"/>
  <c r="BF453" i="1"/>
  <c r="CA483" i="1"/>
  <c r="BI348" i="1"/>
  <c r="CG423" i="1"/>
  <c r="DE303" i="1"/>
  <c r="CY498" i="1"/>
  <c r="BI453" i="1"/>
  <c r="KV34" i="33"/>
  <c r="CY453" i="1"/>
  <c r="KC34" i="33"/>
  <c r="GL26" i="33"/>
  <c r="CA378" i="1"/>
  <c r="CV453" i="1"/>
  <c r="CY288" i="1"/>
  <c r="CJ423" i="1"/>
  <c r="CD408" i="1"/>
  <c r="BX498" i="1"/>
  <c r="DE408" i="1"/>
  <c r="BF498" i="1"/>
  <c r="CG453" i="1"/>
  <c r="CJ498" i="1"/>
  <c r="DB288" i="1"/>
  <c r="BU288" i="1"/>
  <c r="DN19" i="33"/>
  <c r="DR19" i="33"/>
  <c r="DS19" i="33" s="1"/>
  <c r="BI288" i="1"/>
  <c r="BO288" i="1"/>
  <c r="EK26" i="33"/>
  <c r="EL26" i="33" s="1"/>
  <c r="EG26" i="33"/>
  <c r="JJ22" i="33"/>
  <c r="JN22" i="33"/>
  <c r="JO22" i="33" s="1"/>
  <c r="DR10" i="33"/>
  <c r="DS10" i="33" s="1"/>
  <c r="DN10" i="33"/>
  <c r="CV498" i="1"/>
  <c r="JN11" i="33"/>
  <c r="JO11" i="33" s="1"/>
  <c r="JJ11" i="33"/>
  <c r="JJ10" i="33"/>
  <c r="JN10" i="33"/>
  <c r="JO10" i="33" s="1"/>
  <c r="JN5" i="33"/>
  <c r="JO5" i="33" s="1"/>
  <c r="JJ5" i="33"/>
  <c r="HB9" i="33"/>
  <c r="GY86" i="33" s="1"/>
  <c r="GV9" i="33"/>
  <c r="HA9" i="33"/>
  <c r="GW86" i="33" s="1"/>
  <c r="GW9" i="33"/>
  <c r="GU9" i="33"/>
  <c r="DR26" i="33"/>
  <c r="DS26" i="33" s="1"/>
  <c r="DN26" i="33"/>
  <c r="KN7" i="33"/>
  <c r="KL7" i="33"/>
  <c r="KR7" i="33"/>
  <c r="KN84" i="33" s="1"/>
  <c r="KM7" i="33"/>
  <c r="KS7" i="33"/>
  <c r="KP84" i="33" s="1"/>
  <c r="EW18" i="33"/>
  <c r="ET95" i="33" s="1"/>
  <c r="ER18" i="33"/>
  <c r="EV18" i="33"/>
  <c r="ER95" i="33" s="1"/>
  <c r="EP18" i="33"/>
  <c r="EQ18" i="33"/>
  <c r="D19" i="33"/>
  <c r="H19" i="33"/>
  <c r="I19" i="33" s="1"/>
  <c r="H16" i="33"/>
  <c r="I16" i="33" s="1"/>
  <c r="D16" i="33"/>
  <c r="D4" i="33"/>
  <c r="H4" i="33"/>
  <c r="I4" i="33" s="1"/>
  <c r="H18" i="33"/>
  <c r="I18" i="33" s="1"/>
  <c r="D18" i="33"/>
  <c r="H17" i="33"/>
  <c r="I17" i="33" s="1"/>
  <c r="D17" i="33"/>
  <c r="H13" i="33"/>
  <c r="I13" i="33" s="1"/>
  <c r="D13" i="33"/>
  <c r="D10" i="33"/>
  <c r="H10" i="33"/>
  <c r="I10" i="33" s="1"/>
  <c r="EQ5" i="33"/>
  <c r="EW5" i="33"/>
  <c r="ET82" i="33" s="1"/>
  <c r="EP5" i="33"/>
  <c r="ER5" i="33"/>
  <c r="EV5" i="33"/>
  <c r="ER82" i="33" s="1"/>
  <c r="EW16" i="33"/>
  <c r="ET93" i="33" s="1"/>
  <c r="ER16" i="33"/>
  <c r="EQ16" i="33"/>
  <c r="EV16" i="33"/>
  <c r="ER93" i="33" s="1"/>
  <c r="EP16" i="33"/>
  <c r="CP408" i="1"/>
  <c r="CA498" i="1"/>
  <c r="D32" i="33"/>
  <c r="H32" i="33"/>
  <c r="I32" i="33" s="1"/>
  <c r="IU26" i="33"/>
  <c r="IV26" i="33" s="1"/>
  <c r="IQ26" i="33"/>
  <c r="JN35" i="33"/>
  <c r="JO35" i="33" s="1"/>
  <c r="JJ35" i="33"/>
  <c r="CU6" i="33"/>
  <c r="FD22" i="33"/>
  <c r="FE22" i="33" s="1"/>
  <c r="EZ22" i="33"/>
  <c r="CD498" i="1"/>
  <c r="EQ12" i="33"/>
  <c r="ER12" i="33"/>
  <c r="EV12" i="33"/>
  <c r="ER89" i="33" s="1"/>
  <c r="EW12" i="33"/>
  <c r="ET89" i="33" s="1"/>
  <c r="EP12" i="33"/>
  <c r="JS4" i="33"/>
  <c r="JT4" i="33"/>
  <c r="JY4" i="33"/>
  <c r="JU81" i="33" s="1"/>
  <c r="JU4" i="33"/>
  <c r="JZ4" i="33"/>
  <c r="JW81" i="33" s="1"/>
  <c r="BR303" i="1"/>
  <c r="IQ11" i="33"/>
  <c r="HX36" i="33"/>
  <c r="IB36" i="33"/>
  <c r="IC36" i="33" s="1"/>
  <c r="IG12" i="33"/>
  <c r="II12" i="33"/>
  <c r="IM12" i="33"/>
  <c r="II89" i="33" s="1"/>
  <c r="IN12" i="33"/>
  <c r="IK89" i="33" s="1"/>
  <c r="IH12" i="33"/>
  <c r="EP14" i="33"/>
  <c r="ER14" i="33"/>
  <c r="EW14" i="33"/>
  <c r="ET91" i="33" s="1"/>
  <c r="EV14" i="33"/>
  <c r="ER91" i="33" s="1"/>
  <c r="EQ14" i="33"/>
  <c r="CD423" i="1"/>
  <c r="IH4" i="33"/>
  <c r="II4" i="33"/>
  <c r="IG4" i="33"/>
  <c r="IM4" i="33"/>
  <c r="II81" i="33" s="1"/>
  <c r="IN4" i="33"/>
  <c r="IK81" i="33" s="1"/>
  <c r="KM11" i="33"/>
  <c r="KL11" i="33"/>
  <c r="KN11" i="33"/>
  <c r="KR11" i="33"/>
  <c r="KN88" i="33" s="1"/>
  <c r="KS11" i="33"/>
  <c r="KP88" i="33" s="1"/>
  <c r="AP33" i="33"/>
  <c r="AT33" i="33"/>
  <c r="AU33" i="33" s="1"/>
  <c r="D35" i="33"/>
  <c r="H35" i="33"/>
  <c r="I35" i="33" s="1"/>
  <c r="FS32" i="33"/>
  <c r="FW32" i="33"/>
  <c r="FX32" i="33" s="1"/>
  <c r="IU32" i="33"/>
  <c r="IV32" i="33" s="1"/>
  <c r="IQ32" i="33"/>
  <c r="M12" i="33"/>
  <c r="O12" i="33"/>
  <c r="N12" i="33"/>
  <c r="T12" i="33"/>
  <c r="Q89" i="33" s="1"/>
  <c r="S12" i="33"/>
  <c r="O89" i="33" s="1"/>
  <c r="AP35" i="33"/>
  <c r="AT35" i="33"/>
  <c r="AU35" i="33" s="1"/>
  <c r="EZ35" i="33"/>
  <c r="FD35" i="33"/>
  <c r="FE35" i="33" s="1"/>
  <c r="CY423" i="1"/>
  <c r="HB15" i="33"/>
  <c r="GY92" i="33" s="1"/>
  <c r="GU15" i="33"/>
  <c r="GV15" i="33"/>
  <c r="HA15" i="33"/>
  <c r="GW92" i="33" s="1"/>
  <c r="GW15" i="33"/>
  <c r="CU11" i="33"/>
  <c r="LL19" i="33"/>
  <c r="LI96" i="33" s="1"/>
  <c r="LG19" i="33"/>
  <c r="LK19" i="33"/>
  <c r="LG96" i="33" s="1"/>
  <c r="LF19" i="33"/>
  <c r="LE19" i="33"/>
  <c r="EC8" i="33"/>
  <c r="DY85" i="33" s="1"/>
  <c r="DW8" i="33"/>
  <c r="DY8" i="33"/>
  <c r="ED8" i="33"/>
  <c r="EA85" i="33" s="1"/>
  <c r="DX8" i="33"/>
  <c r="KC33" i="33"/>
  <c r="KG33" i="33"/>
  <c r="KH33" i="33" s="1"/>
  <c r="CM258" i="1"/>
  <c r="FI6" i="33"/>
  <c r="FO6" i="33"/>
  <c r="FK83" i="33" s="1"/>
  <c r="FJ6" i="33"/>
  <c r="FK6" i="33"/>
  <c r="FP6" i="33"/>
  <c r="FM83" i="33" s="1"/>
  <c r="CU32" i="33"/>
  <c r="CY32" i="33"/>
  <c r="CZ32" i="33" s="1"/>
  <c r="EG36" i="33"/>
  <c r="EK36" i="33"/>
  <c r="EL36" i="33" s="1"/>
  <c r="IQ6" i="33"/>
  <c r="CY393" i="1"/>
  <c r="BI423" i="1"/>
  <c r="D31" i="33"/>
  <c r="CM333" i="1"/>
  <c r="LF4" i="33"/>
  <c r="LK4" i="33"/>
  <c r="LG81" i="33" s="1"/>
  <c r="LE4" i="33"/>
  <c r="LL4" i="33"/>
  <c r="LI81" i="33" s="1"/>
  <c r="LG4" i="33"/>
  <c r="CQ4" i="33"/>
  <c r="CM81" i="33" s="1"/>
  <c r="CR4" i="33"/>
  <c r="CO81" i="33" s="1"/>
  <c r="CM4" i="33"/>
  <c r="CL4" i="33"/>
  <c r="CK4" i="33"/>
  <c r="W26" i="33"/>
  <c r="BR453" i="1"/>
  <c r="CG483" i="1"/>
  <c r="CV258" i="1"/>
  <c r="CS258" i="1"/>
  <c r="CG258" i="1"/>
  <c r="CJ258" i="1"/>
  <c r="BO258" i="1"/>
  <c r="C132" i="1"/>
  <c r="E132" i="1" s="1"/>
  <c r="C477" i="1"/>
  <c r="E477" i="1" s="1"/>
  <c r="S178" i="1"/>
  <c r="C208" i="1"/>
  <c r="E208" i="1" s="1"/>
  <c r="C388" i="1"/>
  <c r="E388" i="1" s="1"/>
  <c r="I344" i="1"/>
  <c r="Q149" i="1"/>
  <c r="E10" i="3" s="1"/>
  <c r="C147" i="1"/>
  <c r="E147" i="1" s="1"/>
  <c r="I314" i="1"/>
  <c r="U222" i="1"/>
  <c r="C222" i="1" s="1"/>
  <c r="E222" i="1" s="1"/>
  <c r="K479" i="1"/>
  <c r="C73" i="1"/>
  <c r="E73" i="1" s="1"/>
  <c r="C57" i="1"/>
  <c r="E57" i="1" s="1"/>
  <c r="S404" i="1"/>
  <c r="K89" i="1"/>
  <c r="M403" i="1"/>
  <c r="I449" i="1"/>
  <c r="C447" i="1"/>
  <c r="E447" i="1" s="1"/>
  <c r="C253" i="1"/>
  <c r="E253" i="1" s="1"/>
  <c r="C373" i="1"/>
  <c r="E373" i="1" s="1"/>
  <c r="I299" i="1"/>
  <c r="C298" i="1"/>
  <c r="E298" i="1" s="1"/>
  <c r="C28" i="1"/>
  <c r="C372" i="1"/>
  <c r="E372" i="1" s="1"/>
  <c r="I269" i="1"/>
  <c r="C267" i="1"/>
  <c r="E267" i="1" s="1"/>
  <c r="K134" i="1"/>
  <c r="I29" i="1"/>
  <c r="C27" i="1"/>
  <c r="I464" i="1"/>
  <c r="C463" i="1"/>
  <c r="E463" i="1" s="1"/>
  <c r="C87" i="1"/>
  <c r="E87" i="1" s="1"/>
  <c r="C432" i="1"/>
  <c r="E432" i="1" s="1"/>
  <c r="C418" i="1"/>
  <c r="E418" i="1" s="1"/>
  <c r="C102" i="1"/>
  <c r="E102" i="1" s="1"/>
  <c r="C149" i="1"/>
  <c r="E149" i="1" s="1"/>
  <c r="AM149" i="1"/>
  <c r="AL149" i="1"/>
  <c r="C207" i="1"/>
  <c r="E207" i="1" s="1"/>
  <c r="U74" i="1"/>
  <c r="C387" i="1"/>
  <c r="E387" i="1" s="1"/>
  <c r="C402" i="1"/>
  <c r="E402" i="1" s="1"/>
  <c r="C88" i="1"/>
  <c r="E88" i="1" s="1"/>
  <c r="M374" i="1"/>
  <c r="C25" i="3" s="1"/>
  <c r="P14" i="1"/>
  <c r="J13" i="1"/>
  <c r="J28" i="1" s="1"/>
  <c r="I403" i="1"/>
  <c r="S223" i="1"/>
  <c r="C223" i="1" s="1"/>
  <c r="E223" i="1" s="1"/>
  <c r="I194" i="1"/>
  <c r="S119" i="1"/>
  <c r="S104" i="1"/>
  <c r="U102" i="1"/>
  <c r="K43" i="1"/>
  <c r="Q434" i="1"/>
  <c r="U389" i="1"/>
  <c r="CM453" i="1"/>
  <c r="I374" i="1"/>
  <c r="U479" i="1"/>
  <c r="DB483" i="1"/>
  <c r="DE453" i="1"/>
  <c r="CJ333" i="1"/>
  <c r="U209" i="1"/>
  <c r="BR408" i="1"/>
  <c r="CJ303" i="1"/>
  <c r="M449" i="1"/>
  <c r="M254" i="1"/>
  <c r="CD453" i="1"/>
  <c r="D34" i="33"/>
  <c r="BX453" i="1"/>
  <c r="CS408" i="1"/>
  <c r="M29" i="1"/>
  <c r="HI12" i="33"/>
  <c r="HJ12" i="33" s="1"/>
  <c r="HE12" i="33"/>
  <c r="BI9" i="33"/>
  <c r="BM9" i="33"/>
  <c r="BN9" i="33" s="1"/>
  <c r="BM6" i="33"/>
  <c r="BN6" i="33" s="1"/>
  <c r="BI6" i="33"/>
  <c r="BM10" i="33"/>
  <c r="BN10" i="33" s="1"/>
  <c r="BI10" i="33"/>
  <c r="HE17" i="33"/>
  <c r="HE11" i="33"/>
  <c r="HI11" i="33"/>
  <c r="HJ11" i="33" s="1"/>
  <c r="HE13" i="33"/>
  <c r="HI13" i="33"/>
  <c r="HJ13" i="33" s="1"/>
  <c r="BM4" i="33"/>
  <c r="BN4" i="33" s="1"/>
  <c r="BI4" i="33"/>
  <c r="BM13" i="33"/>
  <c r="BN13" i="33" s="1"/>
  <c r="BI13" i="33"/>
  <c r="BI16" i="33"/>
  <c r="BM16" i="33"/>
  <c r="BN16" i="33" s="1"/>
  <c r="JN37" i="33"/>
  <c r="JO37" i="33" s="1"/>
  <c r="JJ37" i="33"/>
  <c r="HI6" i="33"/>
  <c r="HJ6" i="33" s="1"/>
  <c r="HE6" i="33"/>
  <c r="HI14" i="33"/>
  <c r="HJ14" i="33" s="1"/>
  <c r="HE14" i="33"/>
  <c r="BI19" i="33"/>
  <c r="BM19" i="33"/>
  <c r="BN19" i="33" s="1"/>
  <c r="BM14" i="33"/>
  <c r="BN14" i="33" s="1"/>
  <c r="BI14" i="33"/>
  <c r="BI15" i="33"/>
  <c r="BM15" i="33"/>
  <c r="BN15" i="33" s="1"/>
  <c r="AP37" i="33"/>
  <c r="AT37" i="33"/>
  <c r="AU37" i="33" s="1"/>
  <c r="CY23" i="33"/>
  <c r="CZ23" i="33" s="1"/>
  <c r="CU23" i="33"/>
  <c r="CA408" i="1"/>
  <c r="CA303" i="1"/>
  <c r="HI5" i="33"/>
  <c r="HJ5" i="33" s="1"/>
  <c r="HE5" i="33"/>
  <c r="HE18" i="33"/>
  <c r="HI18" i="33"/>
  <c r="HJ18" i="33" s="1"/>
  <c r="BI8" i="33"/>
  <c r="BM8" i="33"/>
  <c r="BN8" i="33" s="1"/>
  <c r="KZ23" i="33"/>
  <c r="LA23" i="33" s="1"/>
  <c r="KV23" i="33"/>
  <c r="KG23" i="33"/>
  <c r="KH23" i="33" s="1"/>
  <c r="KC23" i="33"/>
  <c r="HI9" i="33"/>
  <c r="HJ9" i="33" s="1"/>
  <c r="HE9" i="33"/>
  <c r="BI23" i="33"/>
  <c r="BM23" i="33"/>
  <c r="BN23" i="33" s="1"/>
  <c r="BM25" i="33"/>
  <c r="BN25" i="33" s="1"/>
  <c r="BI25" i="33"/>
  <c r="BM17" i="33"/>
  <c r="BN17" i="33" s="1"/>
  <c r="BI17" i="33"/>
  <c r="DR37" i="33"/>
  <c r="DS37" i="33" s="1"/>
  <c r="DN37" i="33"/>
  <c r="FK8" i="33"/>
  <c r="FO8" i="33"/>
  <c r="FK85" i="33" s="1"/>
  <c r="FJ8" i="33"/>
  <c r="FP8" i="33"/>
  <c r="FM85" i="33" s="1"/>
  <c r="FI8" i="33"/>
  <c r="HE25" i="33"/>
  <c r="HI25" i="33"/>
  <c r="HJ25" i="33" s="1"/>
  <c r="HI4" i="33"/>
  <c r="HJ4" i="33" s="1"/>
  <c r="HE4" i="33"/>
  <c r="HI19" i="33"/>
  <c r="HJ19" i="33" s="1"/>
  <c r="HE19" i="33"/>
  <c r="HI10" i="33"/>
  <c r="HJ10" i="33" s="1"/>
  <c r="HE10" i="33"/>
  <c r="BI32" i="33"/>
  <c r="BM32" i="33"/>
  <c r="BN32" i="33" s="1"/>
  <c r="BM7" i="33"/>
  <c r="BN7" i="33" s="1"/>
  <c r="BI7" i="33"/>
  <c r="BO408" i="1"/>
  <c r="HI36" i="33"/>
  <c r="HJ36" i="33" s="1"/>
  <c r="HE36" i="33"/>
  <c r="HE8" i="33"/>
  <c r="HI8" i="33"/>
  <c r="HJ8" i="33" s="1"/>
  <c r="BI11" i="33"/>
  <c r="BM11" i="33"/>
  <c r="BN11" i="33" s="1"/>
  <c r="BM12" i="33"/>
  <c r="BN12" i="33" s="1"/>
  <c r="BI12" i="33"/>
  <c r="CV408" i="1"/>
  <c r="DF5" i="33"/>
  <c r="DD5" i="33"/>
  <c r="DK5" i="33"/>
  <c r="DH82" i="33" s="1"/>
  <c r="DE5" i="33"/>
  <c r="DJ5" i="33"/>
  <c r="DF82" i="33" s="1"/>
  <c r="HI15" i="33"/>
  <c r="HJ15" i="33" s="1"/>
  <c r="HE15" i="33"/>
  <c r="HI16" i="33"/>
  <c r="HJ16" i="33" s="1"/>
  <c r="HE16" i="33"/>
  <c r="FI4" i="33"/>
  <c r="FO4" i="33"/>
  <c r="FK81" i="33" s="1"/>
  <c r="FK4" i="33"/>
  <c r="FP4" i="33"/>
  <c r="FM81" i="33" s="1"/>
  <c r="FJ4" i="33"/>
  <c r="BI5" i="33"/>
  <c r="BM5" i="33"/>
  <c r="BN5" i="33" s="1"/>
  <c r="IQ24" i="33"/>
  <c r="IU24" i="33"/>
  <c r="IV24" i="33" s="1"/>
  <c r="CA453" i="1"/>
  <c r="KL36" i="33"/>
  <c r="KS36" i="33"/>
  <c r="KP113" i="33" s="1"/>
  <c r="KN36" i="33"/>
  <c r="KR36" i="33"/>
  <c r="KN113" i="33" s="1"/>
  <c r="KM36" i="33"/>
  <c r="CY303" i="1"/>
  <c r="BO303" i="1"/>
  <c r="BF483" i="1"/>
  <c r="CD483" i="1"/>
  <c r="FD24" i="33"/>
  <c r="FE24" i="33" s="1"/>
  <c r="EZ24" i="33"/>
  <c r="CB24" i="33"/>
  <c r="CF24" i="33"/>
  <c r="CG24" i="33" s="1"/>
  <c r="CP378" i="1"/>
  <c r="D24" i="33"/>
  <c r="H24" i="33"/>
  <c r="I24" i="33" s="1"/>
  <c r="CP258" i="1"/>
  <c r="CJ453" i="1"/>
  <c r="IB24" i="33"/>
  <c r="IC24" i="33" s="1"/>
  <c r="HX24" i="33"/>
  <c r="CM408" i="1"/>
  <c r="CG408" i="1"/>
  <c r="K282" i="1"/>
  <c r="K283" i="1"/>
  <c r="DE498" i="1"/>
  <c r="S389" i="1"/>
  <c r="F26" i="3" s="1"/>
  <c r="Q134" i="1"/>
  <c r="M282" i="1"/>
  <c r="M283" i="1"/>
  <c r="H36" i="33"/>
  <c r="I36" i="33" s="1"/>
  <c r="D36" i="33"/>
  <c r="DR36" i="33"/>
  <c r="DS36" i="33" s="1"/>
  <c r="DN36" i="33"/>
  <c r="K313" i="1"/>
  <c r="C313" i="1" s="1"/>
  <c r="E313" i="1" s="1"/>
  <c r="K312" i="1"/>
  <c r="C312" i="1" s="1"/>
  <c r="E312" i="1" s="1"/>
  <c r="Q252" i="1"/>
  <c r="Q254" i="1" s="1"/>
  <c r="E17" i="3" s="1"/>
  <c r="DB453" i="1"/>
  <c r="I74" i="1"/>
  <c r="EK34" i="33"/>
  <c r="EL34" i="33" s="1"/>
  <c r="EG34" i="33"/>
  <c r="DN34" i="33"/>
  <c r="DR34" i="33"/>
  <c r="DS34" i="33" s="1"/>
  <c r="CY34" i="33"/>
  <c r="CZ34" i="33" s="1"/>
  <c r="CU34" i="33"/>
  <c r="S282" i="1"/>
  <c r="S283" i="1"/>
  <c r="M134" i="1"/>
  <c r="C9" i="3" s="1"/>
  <c r="CJ483" i="1"/>
  <c r="M313" i="1"/>
  <c r="M314" i="1" s="1"/>
  <c r="C21" i="3" s="1"/>
  <c r="I254" i="1"/>
  <c r="FW36" i="33"/>
  <c r="FX36" i="33" s="1"/>
  <c r="FS36" i="33"/>
  <c r="DB378" i="1"/>
  <c r="JJ34" i="33"/>
  <c r="JN34" i="33"/>
  <c r="JO34" i="33" s="1"/>
  <c r="JJ36" i="33"/>
  <c r="JN36" i="33"/>
  <c r="JO36" i="33" s="1"/>
  <c r="CF36" i="33"/>
  <c r="CG36" i="33" s="1"/>
  <c r="CB36" i="33"/>
  <c r="AT36" i="33"/>
  <c r="AU36" i="33" s="1"/>
  <c r="AP36" i="33"/>
  <c r="DE258" i="1"/>
  <c r="U434" i="1"/>
  <c r="G29" i="3" s="1"/>
  <c r="FW34" i="33"/>
  <c r="FX34" i="33" s="1"/>
  <c r="FS34" i="33"/>
  <c r="EZ34" i="33"/>
  <c r="FD34" i="33"/>
  <c r="FE34" i="33" s="1"/>
  <c r="HX29" i="33"/>
  <c r="BX483" i="1"/>
  <c r="BI36" i="33"/>
  <c r="BM36" i="33"/>
  <c r="BN36" i="33" s="1"/>
  <c r="EZ36" i="33"/>
  <c r="FD36" i="33"/>
  <c r="FE36" i="33" s="1"/>
  <c r="GL36" i="33"/>
  <c r="GP36" i="33"/>
  <c r="GQ36" i="33" s="1"/>
  <c r="Q209" i="1"/>
  <c r="E14" i="3" s="1"/>
  <c r="KN27" i="33"/>
  <c r="KL27" i="33"/>
  <c r="KM27" i="33"/>
  <c r="KR27" i="33"/>
  <c r="KN104" i="33" s="1"/>
  <c r="KS27" i="33"/>
  <c r="KP104" i="33" s="1"/>
  <c r="K402" i="1"/>
  <c r="K404" i="1" s="1"/>
  <c r="B27" i="3" s="1"/>
  <c r="M359" i="1"/>
  <c r="IB34" i="33"/>
  <c r="IC34" i="33" s="1"/>
  <c r="HX34" i="33"/>
  <c r="GU33" i="33"/>
  <c r="HA33" i="33"/>
  <c r="GW110" i="33" s="1"/>
  <c r="GW33" i="33"/>
  <c r="HB33" i="33"/>
  <c r="GY110" i="33" s="1"/>
  <c r="GV33" i="33"/>
  <c r="KZ36" i="33"/>
  <c r="LA36" i="33" s="1"/>
  <c r="KV36" i="33"/>
  <c r="BO483" i="1"/>
  <c r="CQ33" i="33"/>
  <c r="CM110" i="33" s="1"/>
  <c r="CR33" i="33"/>
  <c r="CO110" i="33" s="1"/>
  <c r="CK33" i="33"/>
  <c r="CL33" i="33"/>
  <c r="CM33" i="33"/>
  <c r="K252" i="1"/>
  <c r="C252" i="1" s="1"/>
  <c r="E252" i="1" s="1"/>
  <c r="AT34" i="33"/>
  <c r="AU34" i="33" s="1"/>
  <c r="AP34" i="33"/>
  <c r="GP34" i="33"/>
  <c r="GQ34" i="33" s="1"/>
  <c r="GL34" i="33"/>
  <c r="IU34" i="33"/>
  <c r="IV34" i="33" s="1"/>
  <c r="IQ34" i="33"/>
  <c r="CB34" i="33"/>
  <c r="CF34" i="33"/>
  <c r="CG34" i="33" s="1"/>
  <c r="U282" i="1"/>
  <c r="U284" i="1" s="1"/>
  <c r="G19" i="3" s="1"/>
  <c r="S252" i="1"/>
  <c r="S254" i="1" s="1"/>
  <c r="F20" i="3"/>
  <c r="A13" i="3"/>
  <c r="G5" i="3"/>
  <c r="U508" i="1"/>
  <c r="BI408" i="1"/>
  <c r="M13" i="1"/>
  <c r="N13" i="1" s="1"/>
  <c r="N28" i="1" s="1"/>
  <c r="K494" i="1"/>
  <c r="B33" i="3" s="1"/>
  <c r="D26" i="3"/>
  <c r="S343" i="1"/>
  <c r="S342" i="1"/>
  <c r="Y22" i="3"/>
  <c r="Q42" i="1"/>
  <c r="Q43" i="1"/>
  <c r="F8" i="3"/>
  <c r="D5" i="3"/>
  <c r="U103" i="1"/>
  <c r="U104" i="1" s="1"/>
  <c r="A2" i="3"/>
  <c r="I389" i="1"/>
  <c r="Y17" i="3"/>
  <c r="S328" i="1"/>
  <c r="S329" i="1" s="1"/>
  <c r="Q343" i="1"/>
  <c r="Q342" i="1"/>
  <c r="D3" i="3"/>
  <c r="G32" i="3"/>
  <c r="U374" i="1"/>
  <c r="Q493" i="1"/>
  <c r="C493" i="1" s="1"/>
  <c r="E493" i="1" s="1"/>
  <c r="Q492" i="1"/>
  <c r="C492" i="1" s="1"/>
  <c r="E492" i="1" s="1"/>
  <c r="B9" i="3"/>
  <c r="Y32" i="3"/>
  <c r="U328" i="1"/>
  <c r="U327" i="1"/>
  <c r="F27" i="3"/>
  <c r="B6" i="3"/>
  <c r="M404" i="1"/>
  <c r="I103" i="1"/>
  <c r="E9" i="3"/>
  <c r="K358" i="1"/>
  <c r="K359" i="1" s="1"/>
  <c r="B24" i="3" s="1"/>
  <c r="BF408" i="1"/>
  <c r="M342" i="1"/>
  <c r="C342" i="1" s="1"/>
  <c r="E342" i="1" s="1"/>
  <c r="M343" i="1"/>
  <c r="C343" i="1" s="1"/>
  <c r="E343" i="1" s="1"/>
  <c r="C2" i="3"/>
  <c r="G20" i="3"/>
  <c r="K1" i="3"/>
  <c r="D29" i="3"/>
  <c r="Y31" i="3"/>
  <c r="S13" i="1"/>
  <c r="T13" i="1" s="1"/>
  <c r="T28" i="1" s="1"/>
  <c r="Y34" i="3"/>
  <c r="DB408" i="1"/>
  <c r="Q359" i="1"/>
  <c r="E24" i="3" s="1"/>
  <c r="S449" i="1"/>
  <c r="F30" i="3" s="1"/>
  <c r="D13" i="3"/>
  <c r="Y23" i="3"/>
  <c r="D9" i="3"/>
  <c r="S374" i="1"/>
  <c r="D30" i="3"/>
  <c r="D27" i="3"/>
  <c r="S357" i="1"/>
  <c r="C357" i="1" s="1"/>
  <c r="E357" i="1" s="1"/>
  <c r="S358" i="1"/>
  <c r="V28" i="1"/>
  <c r="V43" i="1" s="1"/>
  <c r="V58" i="1" s="1"/>
  <c r="V73" i="1" s="1"/>
  <c r="V88" i="1" s="1"/>
  <c r="DB303" i="1"/>
  <c r="K13" i="1"/>
  <c r="L13" i="1" s="1"/>
  <c r="L28" i="1" s="1"/>
  <c r="L43" i="1" s="1"/>
  <c r="L58" i="1" s="1"/>
  <c r="L73" i="1" s="1"/>
  <c r="L88" i="1" s="1"/>
  <c r="S238" i="1"/>
  <c r="C238" i="1" s="1"/>
  <c r="E238" i="1" s="1"/>
  <c r="P29" i="1"/>
  <c r="D2" i="3"/>
  <c r="I434" i="1"/>
  <c r="D19" i="3"/>
  <c r="Y12" i="3"/>
  <c r="E13" i="3"/>
  <c r="G14" i="3"/>
  <c r="E7" i="3"/>
  <c r="CY408" i="1"/>
  <c r="D16" i="3"/>
  <c r="D10" i="3"/>
  <c r="D14" i="3"/>
  <c r="I43" i="1"/>
  <c r="M43" i="1"/>
  <c r="D8" i="3"/>
  <c r="HN34" i="33"/>
  <c r="HP34" i="33"/>
  <c r="HO34" i="33"/>
  <c r="HT34" i="33"/>
  <c r="HP111" i="33" s="1"/>
  <c r="HU34" i="33"/>
  <c r="HR111" i="33" s="1"/>
  <c r="U404" i="1"/>
  <c r="S89" i="1"/>
  <c r="D24" i="3"/>
  <c r="I163" i="1"/>
  <c r="C163" i="1" s="1"/>
  <c r="E163" i="1" s="1"/>
  <c r="Y7" i="3"/>
  <c r="M507" i="1"/>
  <c r="CJ408" i="1"/>
  <c r="BU408" i="1"/>
  <c r="I118" i="1"/>
  <c r="A5" i="3"/>
  <c r="I328" i="1"/>
  <c r="I327" i="1"/>
  <c r="G26" i="3"/>
  <c r="E29" i="3"/>
  <c r="C17" i="3"/>
  <c r="K29" i="1"/>
  <c r="D6" i="3"/>
  <c r="D18" i="3"/>
  <c r="D20" i="3"/>
  <c r="K118" i="1"/>
  <c r="U342" i="1"/>
  <c r="U343" i="1"/>
  <c r="U42" i="1"/>
  <c r="U44" i="1" s="1"/>
  <c r="M328" i="1"/>
  <c r="M327" i="1"/>
  <c r="Y33" i="3"/>
  <c r="Q404" i="1"/>
  <c r="S43" i="1"/>
  <c r="S29" i="1"/>
  <c r="D25" i="3"/>
  <c r="K103" i="1"/>
  <c r="K104" i="1" s="1"/>
  <c r="E28" i="1"/>
  <c r="D21" i="3"/>
  <c r="Q29" i="1"/>
  <c r="D11" i="3"/>
  <c r="T12" i="1"/>
  <c r="T27" i="1" s="1"/>
  <c r="Q59" i="1"/>
  <c r="S209" i="1"/>
  <c r="AN136" i="1"/>
  <c r="C10" i="3"/>
  <c r="I134" i="1"/>
  <c r="F10" i="3"/>
  <c r="AX136" i="1"/>
  <c r="AQ136" i="1"/>
  <c r="I12" i="1"/>
  <c r="I479" i="1"/>
  <c r="F7" i="3"/>
  <c r="B32" i="3"/>
  <c r="JG36" i="33"/>
  <c r="JD113" i="33" s="1"/>
  <c r="JF36" i="33"/>
  <c r="JB113" i="33" s="1"/>
  <c r="JA36" i="33"/>
  <c r="IZ36" i="33"/>
  <c r="JB36" i="33"/>
  <c r="M237" i="1"/>
  <c r="M239" i="1" s="1"/>
  <c r="M117" i="1"/>
  <c r="M119" i="1" s="1"/>
  <c r="I177" i="1"/>
  <c r="I178" i="1"/>
  <c r="C178" i="1" s="1"/>
  <c r="E178" i="1" s="1"/>
  <c r="M162" i="1"/>
  <c r="B14" i="3"/>
  <c r="K74" i="1"/>
  <c r="I239" i="1"/>
  <c r="I419" i="1"/>
  <c r="G8" i="3"/>
  <c r="C31" i="3"/>
  <c r="E32" i="3"/>
  <c r="Q12" i="1"/>
  <c r="Q13" i="1"/>
  <c r="U237" i="1"/>
  <c r="U239" i="1" s="1"/>
  <c r="B18" i="3"/>
  <c r="I117" i="1"/>
  <c r="I89" i="1"/>
  <c r="Q72" i="1"/>
  <c r="Q74" i="1" s="1"/>
  <c r="C24" i="3"/>
  <c r="M494" i="1"/>
  <c r="F13" i="3"/>
  <c r="Q237" i="1"/>
  <c r="Q239" i="1" s="1"/>
  <c r="K117" i="1"/>
  <c r="S162" i="1"/>
  <c r="S164" i="1" s="1"/>
  <c r="U29" i="1"/>
  <c r="E27" i="1"/>
  <c r="M42" i="1"/>
  <c r="S72" i="1"/>
  <c r="S74" i="1" s="1"/>
  <c r="G31" i="3"/>
  <c r="K12" i="1"/>
  <c r="U89" i="1"/>
  <c r="Q389" i="1"/>
  <c r="K162" i="1"/>
  <c r="C162" i="1" s="1"/>
  <c r="E162" i="1" s="1"/>
  <c r="I209" i="1"/>
  <c r="U494" i="1"/>
  <c r="K449" i="1"/>
  <c r="M209" i="1"/>
  <c r="F17" i="3"/>
  <c r="F31" i="3"/>
  <c r="M72" i="1"/>
  <c r="C72" i="1" s="1"/>
  <c r="E72" i="1" s="1"/>
  <c r="K464" i="1"/>
  <c r="I494" i="1"/>
  <c r="S59" i="1"/>
  <c r="I359" i="1"/>
  <c r="U177" i="1"/>
  <c r="U179" i="1" s="1"/>
  <c r="K299" i="1"/>
  <c r="C30" i="3"/>
  <c r="M389" i="1"/>
  <c r="Q162" i="1"/>
  <c r="Q164" i="1" s="1"/>
  <c r="B28" i="3"/>
  <c r="S134" i="1"/>
  <c r="F18" i="3"/>
  <c r="S42" i="1"/>
  <c r="B22" i="3"/>
  <c r="M177" i="1"/>
  <c r="C18" i="3"/>
  <c r="E31" i="3"/>
  <c r="K42" i="1"/>
  <c r="C42" i="1" s="1"/>
  <c r="E42" i="1" s="1"/>
  <c r="K59" i="1"/>
  <c r="AM59" i="1" s="1"/>
  <c r="AS46" i="1" s="1"/>
  <c r="I44" i="1"/>
  <c r="U12" i="1"/>
  <c r="I164" i="1"/>
  <c r="S177" i="1"/>
  <c r="AL136" i="1"/>
  <c r="AS136" i="1"/>
  <c r="A10" i="3"/>
  <c r="K137" i="1" s="1"/>
  <c r="A19" i="3"/>
  <c r="U359" i="1"/>
  <c r="F32" i="3"/>
  <c r="B12" i="3"/>
  <c r="S494" i="1"/>
  <c r="M12" i="1"/>
  <c r="C7" i="3"/>
  <c r="K237" i="1"/>
  <c r="K239" i="1" s="1"/>
  <c r="Q117" i="1"/>
  <c r="Q119" i="1" s="1"/>
  <c r="Q178" i="1"/>
  <c r="Q177" i="1"/>
  <c r="U162" i="1"/>
  <c r="U164" i="1" s="1"/>
  <c r="K374" i="1"/>
  <c r="KZ31" i="33"/>
  <c r="LA31" i="33" s="1"/>
  <c r="KV31" i="33"/>
  <c r="IQ31" i="33"/>
  <c r="IU31" i="33"/>
  <c r="IV31" i="33" s="1"/>
  <c r="FS31" i="33"/>
  <c r="FW31" i="33"/>
  <c r="FX31" i="33" s="1"/>
  <c r="KZ22" i="33"/>
  <c r="LA22" i="33" s="1"/>
  <c r="KV22" i="33"/>
  <c r="HI24" i="33"/>
  <c r="HJ24" i="33" s="1"/>
  <c r="HE24" i="33"/>
  <c r="HE28" i="33"/>
  <c r="HI28" i="33"/>
  <c r="HJ28" i="33" s="1"/>
  <c r="EK37" i="33"/>
  <c r="EL37" i="33" s="1"/>
  <c r="EG37" i="33"/>
  <c r="HI37" i="33"/>
  <c r="HJ37" i="33" s="1"/>
  <c r="HE37" i="33"/>
  <c r="KG37" i="33"/>
  <c r="KH37" i="33" s="1"/>
  <c r="KC37" i="33"/>
  <c r="FS37" i="33"/>
  <c r="FW37" i="33"/>
  <c r="FX37" i="33" s="1"/>
  <c r="DR23" i="33"/>
  <c r="DS23" i="33" s="1"/>
  <c r="DN23" i="33"/>
  <c r="HI26" i="33"/>
  <c r="HJ26" i="33" s="1"/>
  <c r="HE26" i="33"/>
  <c r="BR333" i="1"/>
  <c r="KZ26" i="33"/>
  <c r="LA26" i="33" s="1"/>
  <c r="KV26" i="33"/>
  <c r="JJ32" i="33"/>
  <c r="JN32" i="33"/>
  <c r="JO32" i="33" s="1"/>
  <c r="LS13" i="33"/>
  <c r="LT13" i="33" s="1"/>
  <c r="LO13" i="33"/>
  <c r="LO16" i="33"/>
  <c r="LS16" i="33"/>
  <c r="LT16" i="33" s="1"/>
  <c r="LO20" i="33"/>
  <c r="LS20" i="33"/>
  <c r="LT20" i="33" s="1"/>
  <c r="AT29" i="33"/>
  <c r="AU29" i="33" s="1"/>
  <c r="AP29" i="33"/>
  <c r="BM29" i="33"/>
  <c r="BN29" i="33" s="1"/>
  <c r="BI29" i="33"/>
  <c r="BF378" i="1"/>
  <c r="CM393" i="1"/>
  <c r="BO393" i="1"/>
  <c r="BX393" i="1"/>
  <c r="IU25" i="33"/>
  <c r="IV25" i="33" s="1"/>
  <c r="IQ25" i="33"/>
  <c r="HX31" i="33"/>
  <c r="IB31" i="33"/>
  <c r="IC31" i="33" s="1"/>
  <c r="IB22" i="33"/>
  <c r="IC22" i="33" s="1"/>
  <c r="HX22" i="33"/>
  <c r="KG32" i="33"/>
  <c r="KH32" i="33" s="1"/>
  <c r="KC32" i="33"/>
  <c r="BM28" i="33"/>
  <c r="BN28" i="33" s="1"/>
  <c r="BI28" i="33"/>
  <c r="BL303" i="1"/>
  <c r="CU37" i="33"/>
  <c r="CY37" i="33"/>
  <c r="CZ37" i="33" s="1"/>
  <c r="EZ37" i="33"/>
  <c r="FD37" i="33"/>
  <c r="FE37" i="33" s="1"/>
  <c r="IU23" i="33"/>
  <c r="IV23" i="33" s="1"/>
  <c r="IQ23" i="33"/>
  <c r="JJ26" i="33"/>
  <c r="JN26" i="33"/>
  <c r="JO26" i="33" s="1"/>
  <c r="IB26" i="33"/>
  <c r="IC26" i="33" s="1"/>
  <c r="HX26" i="33"/>
  <c r="BF333" i="1"/>
  <c r="FD32" i="33"/>
  <c r="FE32" i="33" s="1"/>
  <c r="EZ32" i="33"/>
  <c r="GP32" i="33"/>
  <c r="GQ32" i="33" s="1"/>
  <c r="GL32" i="33"/>
  <c r="LO27" i="33"/>
  <c r="LS27" i="33"/>
  <c r="LT27" i="33" s="1"/>
  <c r="LO23" i="33"/>
  <c r="LS23" i="33"/>
  <c r="LT23" i="33" s="1"/>
  <c r="LO36" i="33"/>
  <c r="LS36" i="33"/>
  <c r="LT36" i="33" s="1"/>
  <c r="LS10" i="33"/>
  <c r="LT10" i="33" s="1"/>
  <c r="LO10" i="33"/>
  <c r="LS19" i="33"/>
  <c r="LT19" i="33" s="1"/>
  <c r="LO19" i="33"/>
  <c r="CV378" i="1"/>
  <c r="EZ29" i="33"/>
  <c r="FD29" i="33"/>
  <c r="FE29" i="33" s="1"/>
  <c r="GP30" i="33"/>
  <c r="GQ30" i="33" s="1"/>
  <c r="GL30" i="33"/>
  <c r="FD30" i="33"/>
  <c r="FE30" i="33" s="1"/>
  <c r="EZ30" i="33"/>
  <c r="CB30" i="33"/>
  <c r="CF30" i="33"/>
  <c r="CG30" i="33" s="1"/>
  <c r="AP25" i="33"/>
  <c r="AT25" i="33"/>
  <c r="AU25" i="33" s="1"/>
  <c r="CF25" i="33"/>
  <c r="CG25" i="33" s="1"/>
  <c r="CB25" i="33"/>
  <c r="BM31" i="33"/>
  <c r="BN31" i="33" s="1"/>
  <c r="BI31" i="33"/>
  <c r="CF31" i="33"/>
  <c r="CG31" i="33" s="1"/>
  <c r="CB31" i="33"/>
  <c r="EK22" i="33"/>
  <c r="EL22" i="33" s="1"/>
  <c r="EG22" i="33"/>
  <c r="IU22" i="33"/>
  <c r="IV22" i="33" s="1"/>
  <c r="IQ22" i="33"/>
  <c r="AT24" i="33"/>
  <c r="AU24" i="33" s="1"/>
  <c r="AP24" i="33"/>
  <c r="DR28" i="33"/>
  <c r="DS28" i="33" s="1"/>
  <c r="DN28" i="33"/>
  <c r="KV37" i="33"/>
  <c r="KZ37" i="33"/>
  <c r="LA37" i="33" s="1"/>
  <c r="EK23" i="33"/>
  <c r="EL23" i="33" s="1"/>
  <c r="EG23" i="33"/>
  <c r="JN23" i="33"/>
  <c r="JO23" i="33" s="1"/>
  <c r="JJ23" i="33"/>
  <c r="FW23" i="33"/>
  <c r="FX23" i="33" s="1"/>
  <c r="FS23" i="33"/>
  <c r="KC35" i="33"/>
  <c r="KG35" i="33"/>
  <c r="KH35" i="33" s="1"/>
  <c r="BM35" i="33"/>
  <c r="BN35" i="33" s="1"/>
  <c r="BI35" i="33"/>
  <c r="BO333" i="1"/>
  <c r="KC26" i="33"/>
  <c r="KG26" i="33"/>
  <c r="KH26" i="33" s="1"/>
  <c r="HE32" i="33"/>
  <c r="HI32" i="33"/>
  <c r="HJ32" i="33" s="1"/>
  <c r="LS30" i="33"/>
  <c r="LT30" i="33" s="1"/>
  <c r="LO30" i="33"/>
  <c r="LS7" i="33"/>
  <c r="LT7" i="33" s="1"/>
  <c r="LO7" i="33"/>
  <c r="CY29" i="33"/>
  <c r="CZ29" i="33" s="1"/>
  <c r="CU29" i="33"/>
  <c r="CJ378" i="1"/>
  <c r="CM378" i="1"/>
  <c r="BX378" i="1"/>
  <c r="FW30" i="33"/>
  <c r="FX30" i="33" s="1"/>
  <c r="FS30" i="33"/>
  <c r="DB393" i="1"/>
  <c r="HE30" i="33"/>
  <c r="HI30" i="33"/>
  <c r="HJ30" i="33" s="1"/>
  <c r="CP393" i="1"/>
  <c r="H25" i="33"/>
  <c r="I25" i="33" s="1"/>
  <c r="D25" i="33"/>
  <c r="FW25" i="33"/>
  <c r="FX25" i="33" s="1"/>
  <c r="FS25" i="33"/>
  <c r="DE318" i="1"/>
  <c r="BX20" i="33"/>
  <c r="BT97" i="33" s="1"/>
  <c r="BR20" i="33"/>
  <c r="BS20" i="33"/>
  <c r="BY20" i="33"/>
  <c r="BV97" i="33" s="1"/>
  <c r="BT20" i="33"/>
  <c r="GL22" i="33"/>
  <c r="GP22" i="33"/>
  <c r="GQ22" i="33" s="1"/>
  <c r="JJ24" i="33"/>
  <c r="JN24" i="33"/>
  <c r="JO24" i="33" s="1"/>
  <c r="KG24" i="33"/>
  <c r="KH24" i="33" s="1"/>
  <c r="KC24" i="33"/>
  <c r="EK24" i="33"/>
  <c r="EL24" i="33" s="1"/>
  <c r="EG24" i="33"/>
  <c r="AT28" i="33"/>
  <c r="AU28" i="33" s="1"/>
  <c r="AP28" i="33"/>
  <c r="BX303" i="1"/>
  <c r="IB37" i="33"/>
  <c r="IC37" i="33" s="1"/>
  <c r="HX37" i="33"/>
  <c r="GP37" i="33"/>
  <c r="GQ37" i="33" s="1"/>
  <c r="GL37" i="33"/>
  <c r="EZ23" i="33"/>
  <c r="FD23" i="33"/>
  <c r="FE23" i="33" s="1"/>
  <c r="EG35" i="33"/>
  <c r="EK35" i="33"/>
  <c r="EL35" i="33" s="1"/>
  <c r="DR35" i="33"/>
  <c r="DS35" i="33" s="1"/>
  <c r="DN35" i="33"/>
  <c r="FW35" i="33"/>
  <c r="FX35" i="33" s="1"/>
  <c r="FS35" i="33"/>
  <c r="GL35" i="33"/>
  <c r="GP35" i="33"/>
  <c r="GQ35" i="33" s="1"/>
  <c r="CV333" i="1"/>
  <c r="CB26" i="33"/>
  <c r="CF26" i="33"/>
  <c r="CG26" i="33" s="1"/>
  <c r="KZ32" i="33"/>
  <c r="LA32" i="33" s="1"/>
  <c r="KV32" i="33"/>
  <c r="LS29" i="33"/>
  <c r="LT29" i="33" s="1"/>
  <c r="LO29" i="33"/>
  <c r="LS26" i="33"/>
  <c r="LT26" i="33" s="1"/>
  <c r="LO26" i="33"/>
  <c r="LO6" i="33"/>
  <c r="LS6" i="33"/>
  <c r="LT6" i="33" s="1"/>
  <c r="LS8" i="33"/>
  <c r="LT8" i="33" s="1"/>
  <c r="LO8" i="33"/>
  <c r="GP29" i="33"/>
  <c r="GQ29" i="33" s="1"/>
  <c r="GL29" i="33"/>
  <c r="BO378" i="1"/>
  <c r="BL378" i="1"/>
  <c r="AT30" i="33"/>
  <c r="AU30" i="33" s="1"/>
  <c r="AP30" i="33"/>
  <c r="CA393" i="1"/>
  <c r="BI393" i="1"/>
  <c r="JJ30" i="33"/>
  <c r="JN30" i="33"/>
  <c r="JO30" i="33" s="1"/>
  <c r="IU30" i="33"/>
  <c r="IV30" i="33" s="1"/>
  <c r="IQ30" i="33"/>
  <c r="FD25" i="33"/>
  <c r="FE25" i="33" s="1"/>
  <c r="EZ25" i="33"/>
  <c r="BU318" i="1"/>
  <c r="BF318" i="1"/>
  <c r="GL31" i="33"/>
  <c r="GP31" i="33"/>
  <c r="GQ31" i="33" s="1"/>
  <c r="DN31" i="33"/>
  <c r="DR31" i="33"/>
  <c r="DS31" i="33" s="1"/>
  <c r="CB22" i="33"/>
  <c r="CF22" i="33"/>
  <c r="CG22" i="33" s="1"/>
  <c r="CY28" i="33"/>
  <c r="CZ28" i="33" s="1"/>
  <c r="CU28" i="33"/>
  <c r="JJ28" i="33"/>
  <c r="JN28" i="33"/>
  <c r="JO28" i="33" s="1"/>
  <c r="HX28" i="33"/>
  <c r="IB28" i="33"/>
  <c r="IC28" i="33" s="1"/>
  <c r="IQ28" i="33"/>
  <c r="IU28" i="33"/>
  <c r="IV28" i="33" s="1"/>
  <c r="CB37" i="33"/>
  <c r="CF37" i="33"/>
  <c r="CG37" i="33" s="1"/>
  <c r="AT23" i="33"/>
  <c r="AU23" i="33" s="1"/>
  <c r="AP23" i="33"/>
  <c r="HE23" i="33"/>
  <c r="HI23" i="33"/>
  <c r="HJ23" i="33" s="1"/>
  <c r="CY26" i="33"/>
  <c r="CZ26" i="33" s="1"/>
  <c r="CU26" i="33"/>
  <c r="DB333" i="1"/>
  <c r="CF32" i="33"/>
  <c r="CG32" i="33" s="1"/>
  <c r="CB32" i="33"/>
  <c r="LS28" i="33"/>
  <c r="LT28" i="33" s="1"/>
  <c r="LO28" i="33"/>
  <c r="LS32" i="33"/>
  <c r="LT32" i="33" s="1"/>
  <c r="LO32" i="33"/>
  <c r="LO24" i="33"/>
  <c r="LS24" i="33"/>
  <c r="LT24" i="33" s="1"/>
  <c r="LS34" i="33"/>
  <c r="LT34" i="33" s="1"/>
  <c r="LO34" i="33"/>
  <c r="LO5" i="33"/>
  <c r="LS5" i="33"/>
  <c r="LT5" i="33" s="1"/>
  <c r="N8" i="33"/>
  <c r="S8" i="33"/>
  <c r="O85" i="33" s="1"/>
  <c r="M8" i="33"/>
  <c r="T8" i="33"/>
  <c r="Q85" i="33" s="1"/>
  <c r="O8" i="33"/>
  <c r="HI29" i="33"/>
  <c r="HJ29" i="33" s="1"/>
  <c r="HE29" i="33"/>
  <c r="BU378" i="1"/>
  <c r="CD378" i="1"/>
  <c r="KZ30" i="33"/>
  <c r="LA30" i="33" s="1"/>
  <c r="KV30" i="33"/>
  <c r="DE393" i="1"/>
  <c r="BF393" i="1"/>
  <c r="CD393" i="1"/>
  <c r="CV393" i="1"/>
  <c r="KC30" i="33"/>
  <c r="KG30" i="33"/>
  <c r="KH30" i="33" s="1"/>
  <c r="BR393" i="1"/>
  <c r="GU19" i="33"/>
  <c r="HB19" i="33"/>
  <c r="GY96" i="33" s="1"/>
  <c r="GW19" i="33"/>
  <c r="GV19" i="33"/>
  <c r="HA19" i="33"/>
  <c r="GW96" i="33" s="1"/>
  <c r="DR25" i="33"/>
  <c r="DS25" i="33" s="1"/>
  <c r="DN25" i="33"/>
  <c r="CY318" i="1"/>
  <c r="CU25" i="33"/>
  <c r="CY25" i="33"/>
  <c r="CZ25" i="33" s="1"/>
  <c r="KC31" i="33"/>
  <c r="KG31" i="33"/>
  <c r="KH31" i="33" s="1"/>
  <c r="DR22" i="33"/>
  <c r="DS22" i="33" s="1"/>
  <c r="DN22" i="33"/>
  <c r="KG22" i="33"/>
  <c r="KH22" i="33" s="1"/>
  <c r="KC22" i="33"/>
  <c r="FW22" i="33"/>
  <c r="FX22" i="33" s="1"/>
  <c r="FS22" i="33"/>
  <c r="GL24" i="33"/>
  <c r="GP24" i="33"/>
  <c r="GQ24" i="33" s="1"/>
  <c r="BM24" i="33"/>
  <c r="BN24" i="33" s="1"/>
  <c r="BI24" i="33"/>
  <c r="IU37" i="33"/>
  <c r="IV37" i="33" s="1"/>
  <c r="IQ37" i="33"/>
  <c r="D37" i="33"/>
  <c r="H37" i="33"/>
  <c r="I37" i="33" s="1"/>
  <c r="IB23" i="33"/>
  <c r="IC23" i="33" s="1"/>
  <c r="HX23" i="33"/>
  <c r="FW26" i="33"/>
  <c r="FX26" i="33" s="1"/>
  <c r="FS26" i="33"/>
  <c r="FD26" i="33"/>
  <c r="FE26" i="33" s="1"/>
  <c r="EZ26" i="33"/>
  <c r="LS33" i="33"/>
  <c r="LT33" i="33" s="1"/>
  <c r="LO33" i="33"/>
  <c r="LS35" i="33"/>
  <c r="LT35" i="33" s="1"/>
  <c r="LO35" i="33"/>
  <c r="LS31" i="33"/>
  <c r="LT31" i="33" s="1"/>
  <c r="LO31" i="33"/>
  <c r="LS11" i="33"/>
  <c r="LT11" i="33" s="1"/>
  <c r="LO11" i="33"/>
  <c r="LO14" i="33"/>
  <c r="LS14" i="33"/>
  <c r="LT14" i="33" s="1"/>
  <c r="KZ29" i="33"/>
  <c r="LA29" i="33" s="1"/>
  <c r="KV29" i="33"/>
  <c r="H29" i="33"/>
  <c r="I29" i="33" s="1"/>
  <c r="D29" i="33"/>
  <c r="DE378" i="1"/>
  <c r="BM30" i="33"/>
  <c r="BN30" i="33" s="1"/>
  <c r="BI30" i="33"/>
  <c r="HX30" i="33"/>
  <c r="IB30" i="33"/>
  <c r="IC30" i="33" s="1"/>
  <c r="KG25" i="33"/>
  <c r="KH25" i="33" s="1"/>
  <c r="KC25" i="33"/>
  <c r="CG318" i="1"/>
  <c r="CV318" i="1"/>
  <c r="EK31" i="33"/>
  <c r="EL31" i="33" s="1"/>
  <c r="EG31" i="33"/>
  <c r="CY22" i="33"/>
  <c r="CZ22" i="33" s="1"/>
  <c r="CU22" i="33"/>
  <c r="CY24" i="33"/>
  <c r="CZ24" i="33" s="1"/>
  <c r="CU24" i="33"/>
  <c r="H28" i="33"/>
  <c r="I28" i="33" s="1"/>
  <c r="D28" i="33"/>
  <c r="KZ28" i="33"/>
  <c r="LA28" i="33" s="1"/>
  <c r="KV28" i="33"/>
  <c r="FW28" i="33"/>
  <c r="FX28" i="33" s="1"/>
  <c r="FS28" i="33"/>
  <c r="KC28" i="33"/>
  <c r="KG28" i="33"/>
  <c r="KH28" i="33" s="1"/>
  <c r="GL28" i="33"/>
  <c r="GP28" i="33"/>
  <c r="GQ28" i="33" s="1"/>
  <c r="BM37" i="33"/>
  <c r="BN37" i="33" s="1"/>
  <c r="BI37" i="33"/>
  <c r="CF35" i="33"/>
  <c r="CG35" i="33" s="1"/>
  <c r="CB35" i="33"/>
  <c r="BM26" i="33"/>
  <c r="BN26" i="33" s="1"/>
  <c r="BI26" i="33"/>
  <c r="CY333" i="1"/>
  <c r="H26" i="33"/>
  <c r="I26" i="33" s="1"/>
  <c r="D26" i="33"/>
  <c r="EG32" i="33"/>
  <c r="EK32" i="33"/>
  <c r="EL32" i="33" s="1"/>
  <c r="LO22" i="33"/>
  <c r="LO25" i="33"/>
  <c r="LS25" i="33"/>
  <c r="LT25" i="33" s="1"/>
  <c r="JN29" i="33"/>
  <c r="JO29" i="33" s="1"/>
  <c r="JJ29" i="33"/>
  <c r="EG29" i="33"/>
  <c r="EK29" i="33"/>
  <c r="EL29" i="33" s="1"/>
  <c r="CJ393" i="1"/>
  <c r="H30" i="33"/>
  <c r="I30" i="33" s="1"/>
  <c r="D30" i="33"/>
  <c r="EG25" i="33"/>
  <c r="EK25" i="33"/>
  <c r="EL25" i="33" s="1"/>
  <c r="AT31" i="33"/>
  <c r="AU31" i="33" s="1"/>
  <c r="AP31" i="33"/>
  <c r="JN31" i="33"/>
  <c r="JO31" i="33" s="1"/>
  <c r="JJ31" i="33"/>
  <c r="CY31" i="33"/>
  <c r="CZ31" i="33" s="1"/>
  <c r="CU31" i="33"/>
  <c r="D22" i="33"/>
  <c r="H22" i="33"/>
  <c r="I22" i="33" s="1"/>
  <c r="HI22" i="33"/>
  <c r="HJ22" i="33" s="1"/>
  <c r="HE22" i="33"/>
  <c r="BM22" i="33"/>
  <c r="BN22" i="33" s="1"/>
  <c r="BI22" i="33"/>
  <c r="FW24" i="33"/>
  <c r="FX24" i="33" s="1"/>
  <c r="FS24" i="33"/>
  <c r="KZ24" i="33"/>
  <c r="LA24" i="33" s="1"/>
  <c r="KV24" i="33"/>
  <c r="CF28" i="33"/>
  <c r="CG28" i="33" s="1"/>
  <c r="CB28" i="33"/>
  <c r="CV303" i="1"/>
  <c r="CF23" i="33"/>
  <c r="CG23" i="33" s="1"/>
  <c r="CB23" i="33"/>
  <c r="H23" i="33"/>
  <c r="I23" i="33" s="1"/>
  <c r="D23" i="33"/>
  <c r="GP23" i="33"/>
  <c r="GQ23" i="33" s="1"/>
  <c r="GL23" i="33"/>
  <c r="HI35" i="33"/>
  <c r="HJ35" i="33" s="1"/>
  <c r="HE35" i="33"/>
  <c r="CU35" i="33"/>
  <c r="CY35" i="33"/>
  <c r="CZ35" i="33" s="1"/>
  <c r="IQ35" i="33"/>
  <c r="IU35" i="33"/>
  <c r="IV35" i="33" s="1"/>
  <c r="IB35" i="33"/>
  <c r="IC35" i="33" s="1"/>
  <c r="HX35" i="33"/>
  <c r="CD333" i="1"/>
  <c r="AT32" i="33"/>
  <c r="AU32" i="33" s="1"/>
  <c r="AP32" i="33"/>
  <c r="LS37" i="33"/>
  <c r="LT37" i="33" s="1"/>
  <c r="LO37" i="33"/>
  <c r="LS17" i="33"/>
  <c r="LT17" i="33" s="1"/>
  <c r="LO17" i="33"/>
  <c r="IU29" i="33"/>
  <c r="IV29" i="33" s="1"/>
  <c r="IQ29" i="33"/>
  <c r="CF29" i="33"/>
  <c r="CG29" i="33" s="1"/>
  <c r="CB29" i="33"/>
  <c r="EG30" i="33"/>
  <c r="EK30" i="33"/>
  <c r="EL30" i="33" s="1"/>
  <c r="CS393" i="1"/>
  <c r="JN25" i="33"/>
  <c r="JO25" i="33" s="1"/>
  <c r="JJ25" i="33"/>
  <c r="IB25" i="33"/>
  <c r="IC25" i="33" s="1"/>
  <c r="HX25" i="33"/>
  <c r="AA23" i="33"/>
  <c r="AB23" i="33" s="1"/>
  <c r="W23" i="33"/>
  <c r="W14" i="33"/>
  <c r="AA14" i="33"/>
  <c r="AB14" i="33" s="1"/>
  <c r="DY6" i="33"/>
  <c r="DX6" i="33"/>
  <c r="DW6" i="33"/>
  <c r="EC6" i="33"/>
  <c r="DY83" i="33" s="1"/>
  <c r="ED6" i="33"/>
  <c r="EA83" i="33" s="1"/>
  <c r="EC4" i="33"/>
  <c r="DY81" i="33" s="1"/>
  <c r="ED4" i="33"/>
  <c r="EA81" i="33" s="1"/>
  <c r="DY4" i="33"/>
  <c r="DW4" i="33"/>
  <c r="DX4" i="33"/>
  <c r="AA28" i="33"/>
  <c r="AB28" i="33" s="1"/>
  <c r="W28" i="33"/>
  <c r="AA32" i="33"/>
  <c r="AB32" i="33" s="1"/>
  <c r="W32" i="33"/>
  <c r="W29" i="33"/>
  <c r="AA29" i="33"/>
  <c r="AB29" i="33" s="1"/>
  <c r="AA15" i="33"/>
  <c r="AB15" i="33" s="1"/>
  <c r="W15" i="33"/>
  <c r="JN21" i="33"/>
  <c r="JO21" i="33" s="1"/>
  <c r="JJ21" i="33"/>
  <c r="FD21" i="33"/>
  <c r="FE21" i="33" s="1"/>
  <c r="EZ21" i="33"/>
  <c r="KG21" i="33"/>
  <c r="KH21" i="33" s="1"/>
  <c r="KC21" i="33"/>
  <c r="W27" i="33"/>
  <c r="AA27" i="33"/>
  <c r="AB27" i="33" s="1"/>
  <c r="AA25" i="33"/>
  <c r="AB25" i="33" s="1"/>
  <c r="W25" i="33"/>
  <c r="W11" i="33"/>
  <c r="AA11" i="33"/>
  <c r="AB11" i="33" s="1"/>
  <c r="AA17" i="33"/>
  <c r="AB17" i="33" s="1"/>
  <c r="W17" i="33"/>
  <c r="AA12" i="33"/>
  <c r="AB12" i="33" s="1"/>
  <c r="W12" i="33"/>
  <c r="AA33" i="33"/>
  <c r="AB33" i="33" s="1"/>
  <c r="W33" i="33"/>
  <c r="AA10" i="33"/>
  <c r="AB10" i="33" s="1"/>
  <c r="W10" i="33"/>
  <c r="W4" i="33"/>
  <c r="AA4" i="33"/>
  <c r="AB4" i="33" s="1"/>
  <c r="AA7" i="33"/>
  <c r="AB7" i="33" s="1"/>
  <c r="W7" i="33"/>
  <c r="CF21" i="33"/>
  <c r="CG21" i="33" s="1"/>
  <c r="CB21" i="33"/>
  <c r="EG21" i="33"/>
  <c r="EK21" i="33"/>
  <c r="EL21" i="33" s="1"/>
  <c r="LO21" i="33"/>
  <c r="LS21" i="33"/>
  <c r="LT21" i="33" s="1"/>
  <c r="AA37" i="33"/>
  <c r="AB37" i="33" s="1"/>
  <c r="W37" i="33"/>
  <c r="AA36" i="33"/>
  <c r="AB36" i="33" s="1"/>
  <c r="W36" i="33"/>
  <c r="AA22" i="33"/>
  <c r="AB22" i="33" s="1"/>
  <c r="W22" i="33"/>
  <c r="W8" i="33"/>
  <c r="AA8" i="33"/>
  <c r="AB8" i="33" s="1"/>
  <c r="AP21" i="33"/>
  <c r="AT21" i="33"/>
  <c r="AU21" i="33" s="1"/>
  <c r="IB21" i="33"/>
  <c r="IC21" i="33" s="1"/>
  <c r="HX21" i="33"/>
  <c r="IQ21" i="33"/>
  <c r="IU21" i="33"/>
  <c r="IV21" i="33" s="1"/>
  <c r="KZ21" i="33"/>
  <c r="LA21" i="33" s="1"/>
  <c r="KV21" i="33"/>
  <c r="AA30" i="33"/>
  <c r="AB30" i="33" s="1"/>
  <c r="W30" i="33"/>
  <c r="AA31" i="33"/>
  <c r="AB31" i="33" s="1"/>
  <c r="W31" i="33"/>
  <c r="AA35" i="33"/>
  <c r="AB35" i="33" s="1"/>
  <c r="W35" i="33"/>
  <c r="W5" i="33"/>
  <c r="AA5" i="33"/>
  <c r="AB5" i="33" s="1"/>
  <c r="W9" i="33"/>
  <c r="AA9" i="33"/>
  <c r="AB9" i="33" s="1"/>
  <c r="GP21" i="33"/>
  <c r="GQ21" i="33" s="1"/>
  <c r="GL21" i="33"/>
  <c r="AA34" i="33"/>
  <c r="AB34" i="33" s="1"/>
  <c r="W34" i="33"/>
  <c r="W18" i="33"/>
  <c r="AA18" i="33"/>
  <c r="AB18" i="33" s="1"/>
  <c r="W16" i="33"/>
  <c r="AA16" i="33"/>
  <c r="AB16" i="33" s="1"/>
  <c r="W20" i="33"/>
  <c r="AA20" i="33"/>
  <c r="AB20" i="33" s="1"/>
  <c r="W13" i="33"/>
  <c r="AA13" i="33"/>
  <c r="AB13" i="33" s="1"/>
  <c r="ED24" i="33"/>
  <c r="EA101" i="33" s="1"/>
  <c r="DW24" i="33"/>
  <c r="DY24" i="33"/>
  <c r="DX24" i="33"/>
  <c r="EC24" i="33"/>
  <c r="DY101" i="33" s="1"/>
  <c r="CY21" i="33"/>
  <c r="CZ21" i="33" s="1"/>
  <c r="CU21" i="33"/>
  <c r="FW21" i="33"/>
  <c r="FX21" i="33" s="1"/>
  <c r="FS21" i="33"/>
  <c r="H21" i="33"/>
  <c r="I21" i="33" s="1"/>
  <c r="D21" i="33"/>
  <c r="DR21" i="33"/>
  <c r="DS21" i="33" s="1"/>
  <c r="DN21" i="33"/>
  <c r="HI21" i="33"/>
  <c r="HJ21" i="33" s="1"/>
  <c r="HE21" i="33"/>
  <c r="BI21" i="33"/>
  <c r="BM21" i="33"/>
  <c r="BN21" i="33" s="1"/>
  <c r="AA24" i="33"/>
  <c r="AB24" i="33" s="1"/>
  <c r="W24" i="33"/>
  <c r="W6" i="33"/>
  <c r="AA6" i="33"/>
  <c r="AB6" i="33" s="1"/>
  <c r="AA19" i="33"/>
  <c r="AB19" i="33" s="1"/>
  <c r="W19" i="33"/>
  <c r="AA21" i="33"/>
  <c r="AB21" i="33" s="1"/>
  <c r="W21" i="33"/>
  <c r="K508" i="1"/>
  <c r="U507" i="1"/>
  <c r="U509" i="1" s="1"/>
  <c r="G34" i="3" s="1"/>
  <c r="Q508" i="1"/>
  <c r="I507" i="1"/>
  <c r="C507" i="1" s="1"/>
  <c r="E507" i="1" s="1"/>
  <c r="A4" i="3"/>
  <c r="Y4" i="3"/>
  <c r="G4" i="3"/>
  <c r="M224" i="1"/>
  <c r="I224" i="1"/>
  <c r="U224" i="1"/>
  <c r="Q224" i="1"/>
  <c r="K224" i="1"/>
  <c r="Q507" i="1"/>
  <c r="I508" i="1"/>
  <c r="S508" i="1"/>
  <c r="K507" i="1"/>
  <c r="M509" i="1"/>
  <c r="C34" i="3" s="1"/>
  <c r="JU10" i="33" l="1"/>
  <c r="JZ10" i="33"/>
  <c r="JW87" i="33" s="1"/>
  <c r="JS10" i="33"/>
  <c r="JT10" i="33"/>
  <c r="JY10" i="33"/>
  <c r="JU87" i="33" s="1"/>
  <c r="DX10" i="33"/>
  <c r="DW10" i="33"/>
  <c r="EC10" i="33"/>
  <c r="DY87" i="33" s="1"/>
  <c r="DY10" i="33"/>
  <c r="ED10" i="33"/>
  <c r="EA87" i="33" s="1"/>
  <c r="N17" i="33"/>
  <c r="O17" i="33"/>
  <c r="T17" i="33"/>
  <c r="Q94" i="33" s="1"/>
  <c r="M17" i="33"/>
  <c r="S17" i="33"/>
  <c r="O94" i="33" s="1"/>
  <c r="S4" i="33"/>
  <c r="O81" i="33" s="1"/>
  <c r="O4" i="33"/>
  <c r="T4" i="33"/>
  <c r="Q81" i="33" s="1"/>
  <c r="N4" i="33"/>
  <c r="M4" i="33"/>
  <c r="O10" i="33"/>
  <c r="M10" i="33"/>
  <c r="N10" i="33"/>
  <c r="T10" i="33"/>
  <c r="Q87" i="33" s="1"/>
  <c r="S10" i="33"/>
  <c r="O87" i="33" s="1"/>
  <c r="O19" i="33"/>
  <c r="T19" i="33"/>
  <c r="Q96" i="33" s="1"/>
  <c r="S19" i="33"/>
  <c r="O96" i="33" s="1"/>
  <c r="M19" i="33"/>
  <c r="N19" i="33"/>
  <c r="JZ35" i="33"/>
  <c r="JW112" i="33" s="1"/>
  <c r="JY35" i="33"/>
  <c r="JU112" i="33" s="1"/>
  <c r="JT35" i="33"/>
  <c r="JU35" i="33"/>
  <c r="JS35" i="33"/>
  <c r="C508" i="1"/>
  <c r="E508" i="1" s="1"/>
  <c r="C117" i="1"/>
  <c r="E117" i="1" s="1"/>
  <c r="AL434" i="1"/>
  <c r="C434" i="1"/>
  <c r="E434" i="1" s="1"/>
  <c r="AM434" i="1"/>
  <c r="A20" i="3"/>
  <c r="AM299" i="1"/>
  <c r="AL299" i="1"/>
  <c r="C299" i="1"/>
  <c r="E299" i="1" s="1"/>
  <c r="C177" i="1"/>
  <c r="E177" i="1" s="1"/>
  <c r="C479" i="1"/>
  <c r="E479" i="1" s="1"/>
  <c r="AM479" i="1"/>
  <c r="AL479" i="1"/>
  <c r="C327" i="1"/>
  <c r="E327" i="1" s="1"/>
  <c r="C389" i="1"/>
  <c r="E389" i="1" s="1"/>
  <c r="AM389" i="1"/>
  <c r="AL389" i="1"/>
  <c r="A31" i="3"/>
  <c r="C464" i="1"/>
  <c r="E464" i="1" s="1"/>
  <c r="AM464" i="1"/>
  <c r="AL464" i="1"/>
  <c r="C237" i="1"/>
  <c r="E237" i="1" s="1"/>
  <c r="C328" i="1"/>
  <c r="E328" i="1" s="1"/>
  <c r="C283" i="1"/>
  <c r="E283" i="1" s="1"/>
  <c r="A17" i="3"/>
  <c r="C282" i="1"/>
  <c r="E282" i="1" s="1"/>
  <c r="C358" i="1"/>
  <c r="E358" i="1" s="1"/>
  <c r="AM29" i="1"/>
  <c r="AL29" i="1"/>
  <c r="C29" i="1"/>
  <c r="A30" i="3"/>
  <c r="C449" i="1"/>
  <c r="E449" i="1" s="1"/>
  <c r="AM449" i="1"/>
  <c r="AL449" i="1"/>
  <c r="C209" i="1"/>
  <c r="E209" i="1" s="1"/>
  <c r="AM209" i="1"/>
  <c r="AL209" i="1"/>
  <c r="AM269" i="1"/>
  <c r="AL269" i="1"/>
  <c r="C269" i="1"/>
  <c r="E269" i="1" s="1"/>
  <c r="A18" i="3"/>
  <c r="S224" i="1"/>
  <c r="C118" i="1"/>
  <c r="E118" i="1" s="1"/>
  <c r="C103" i="1"/>
  <c r="E103" i="1" s="1"/>
  <c r="A25" i="3"/>
  <c r="AM374" i="1"/>
  <c r="AL374" i="1"/>
  <c r="C374" i="1"/>
  <c r="E374" i="1" s="1"/>
  <c r="C59" i="1"/>
  <c r="E59" i="1" s="1"/>
  <c r="AM419" i="1"/>
  <c r="AL419" i="1"/>
  <c r="C419" i="1"/>
  <c r="E419" i="1" s="1"/>
  <c r="AM224" i="1"/>
  <c r="AL224" i="1"/>
  <c r="C224" i="1"/>
  <c r="E224" i="1" s="1"/>
  <c r="S179" i="1"/>
  <c r="AM89" i="1"/>
  <c r="C89" i="1"/>
  <c r="E89" i="1" s="1"/>
  <c r="AL89" i="1"/>
  <c r="C43" i="1"/>
  <c r="E43" i="1" s="1"/>
  <c r="I404" i="1"/>
  <c r="C403" i="1"/>
  <c r="E403" i="1" s="1"/>
  <c r="AL59" i="1"/>
  <c r="AL46" i="1" s="1"/>
  <c r="A23" i="3"/>
  <c r="AM134" i="1"/>
  <c r="AL134" i="1"/>
  <c r="C134" i="1"/>
  <c r="E134" i="1" s="1"/>
  <c r="AL194" i="1"/>
  <c r="C194" i="1"/>
  <c r="E194" i="1" s="1"/>
  <c r="AM194" i="1"/>
  <c r="A21" i="3"/>
  <c r="C12" i="1"/>
  <c r="C13" i="1"/>
  <c r="S14" i="1"/>
  <c r="T14" i="1" s="1"/>
  <c r="Q344" i="1"/>
  <c r="I257" i="1"/>
  <c r="AY46" i="1"/>
  <c r="N43" i="1"/>
  <c r="N58" i="1" s="1"/>
  <c r="N73" i="1" s="1"/>
  <c r="N88" i="1" s="1"/>
  <c r="N103" i="1" s="1"/>
  <c r="N118" i="1" s="1"/>
  <c r="N133" i="1" s="1"/>
  <c r="N148" i="1" s="1"/>
  <c r="N163" i="1" s="1"/>
  <c r="N178" i="1" s="1"/>
  <c r="N193" i="1" s="1"/>
  <c r="N208" i="1" s="1"/>
  <c r="N223" i="1" s="1"/>
  <c r="N238" i="1" s="1"/>
  <c r="N253" i="1" s="1"/>
  <c r="N268" i="1" s="1"/>
  <c r="N283" i="1" s="1"/>
  <c r="N298" i="1" s="1"/>
  <c r="N313" i="1" s="1"/>
  <c r="N328" i="1" s="1"/>
  <c r="N343" i="1" s="1"/>
  <c r="N358" i="1" s="1"/>
  <c r="N373" i="1" s="1"/>
  <c r="N388" i="1" s="1"/>
  <c r="N403" i="1" s="1"/>
  <c r="N418" i="1" s="1"/>
  <c r="N433" i="1" s="1"/>
  <c r="N448" i="1" s="1"/>
  <c r="N463" i="1" s="1"/>
  <c r="N478" i="1" s="1"/>
  <c r="N493" i="1" s="1"/>
  <c r="N508" i="1" s="1"/>
  <c r="V103" i="1"/>
  <c r="V118" i="1" s="1"/>
  <c r="V133" i="1" s="1"/>
  <c r="V148" i="1" s="1"/>
  <c r="V163" i="1" s="1"/>
  <c r="V178" i="1" s="1"/>
  <c r="V193" i="1" s="1"/>
  <c r="V208" i="1" s="1"/>
  <c r="V223" i="1" s="1"/>
  <c r="V238" i="1" s="1"/>
  <c r="V253" i="1" s="1"/>
  <c r="V268" i="1" s="1"/>
  <c r="V283" i="1" s="1"/>
  <c r="V298" i="1" s="1"/>
  <c r="V313" i="1" s="1"/>
  <c r="V328" i="1" s="1"/>
  <c r="V343" i="1" s="1"/>
  <c r="V358" i="1" s="1"/>
  <c r="V373" i="1" s="1"/>
  <c r="V388" i="1" s="1"/>
  <c r="V403" i="1" s="1"/>
  <c r="V418" i="1" s="1"/>
  <c r="V433" i="1" s="1"/>
  <c r="V448" i="1" s="1"/>
  <c r="V463" i="1" s="1"/>
  <c r="V478" i="1" s="1"/>
  <c r="V493" i="1" s="1"/>
  <c r="V508" i="1" s="1"/>
  <c r="M284" i="1"/>
  <c r="C19" i="3" s="1"/>
  <c r="S284" i="1"/>
  <c r="F19" i="3" s="1"/>
  <c r="BS11" i="33"/>
  <c r="BT11" i="33"/>
  <c r="BR11" i="33"/>
  <c r="BX11" i="33"/>
  <c r="BT88" i="33" s="1"/>
  <c r="BY11" i="33"/>
  <c r="BV88" i="33" s="1"/>
  <c r="DE23" i="33"/>
  <c r="DF23" i="33"/>
  <c r="DD23" i="33"/>
  <c r="DK23" i="33"/>
  <c r="DH100" i="33" s="1"/>
  <c r="DJ23" i="33"/>
  <c r="DF100" i="33" s="1"/>
  <c r="BY7" i="33"/>
  <c r="BV84" i="33" s="1"/>
  <c r="BS7" i="33"/>
  <c r="BX7" i="33"/>
  <c r="BT84" i="33" s="1"/>
  <c r="BT7" i="33"/>
  <c r="BR7" i="33"/>
  <c r="BT25" i="33"/>
  <c r="BS25" i="33"/>
  <c r="BY25" i="33"/>
  <c r="BV102" i="33" s="1"/>
  <c r="BR25" i="33"/>
  <c r="BX25" i="33"/>
  <c r="BT102" i="33" s="1"/>
  <c r="BT5" i="33"/>
  <c r="BX5" i="33"/>
  <c r="BT82" i="33" s="1"/>
  <c r="BY5" i="33"/>
  <c r="BV82" i="33" s="1"/>
  <c r="BS5" i="33"/>
  <c r="BR5" i="33"/>
  <c r="ED37" i="33"/>
  <c r="EA114" i="33" s="1"/>
  <c r="EC37" i="33"/>
  <c r="DY114" i="33" s="1"/>
  <c r="DW37" i="33"/>
  <c r="DY37" i="33"/>
  <c r="DX37" i="33"/>
  <c r="BS13" i="33"/>
  <c r="BX13" i="33"/>
  <c r="BT90" i="33" s="1"/>
  <c r="BY13" i="33"/>
  <c r="BV90" i="33" s="1"/>
  <c r="BT13" i="33"/>
  <c r="BR13" i="33"/>
  <c r="BR9" i="33"/>
  <c r="BY9" i="33"/>
  <c r="BV86" i="33" s="1"/>
  <c r="BS9" i="33"/>
  <c r="BX9" i="33"/>
  <c r="BT86" i="33" s="1"/>
  <c r="BT9" i="33"/>
  <c r="EQ34" i="33"/>
  <c r="EP34" i="33"/>
  <c r="EW34" i="33"/>
  <c r="ET111" i="33" s="1"/>
  <c r="ER34" i="33"/>
  <c r="EV34" i="33"/>
  <c r="ER111" i="33" s="1"/>
  <c r="K284" i="1"/>
  <c r="K314" i="1"/>
  <c r="AL314" i="1" s="1"/>
  <c r="BX36" i="33"/>
  <c r="BT113" i="33" s="1"/>
  <c r="BT36" i="33"/>
  <c r="BY36" i="33"/>
  <c r="BV113" i="33" s="1"/>
  <c r="BS36" i="33"/>
  <c r="BR36" i="33"/>
  <c r="GH34" i="33"/>
  <c r="GD111" i="33" s="1"/>
  <c r="GB34" i="33"/>
  <c r="GC34" i="33"/>
  <c r="GD34" i="33"/>
  <c r="GI34" i="33"/>
  <c r="GF111" i="33" s="1"/>
  <c r="JB34" i="33"/>
  <c r="IZ34" i="33"/>
  <c r="JA34" i="33"/>
  <c r="JF34" i="33"/>
  <c r="JB111" i="33" s="1"/>
  <c r="JG34" i="33"/>
  <c r="JD111" i="33" s="1"/>
  <c r="Q494" i="1"/>
  <c r="E33" i="3" s="1"/>
  <c r="S344" i="1"/>
  <c r="F23" i="3" s="1"/>
  <c r="AR46" i="1"/>
  <c r="U329" i="1"/>
  <c r="G22" i="3" s="1"/>
  <c r="K254" i="1"/>
  <c r="AL254" i="1" s="1"/>
  <c r="F22" i="3"/>
  <c r="AM181" i="1"/>
  <c r="AR181" i="1"/>
  <c r="AN181" i="1"/>
  <c r="AL181" i="1"/>
  <c r="AQ181" i="1"/>
  <c r="AO181" i="1"/>
  <c r="AP181" i="1"/>
  <c r="B7" i="3"/>
  <c r="S18" i="3"/>
  <c r="U137" i="1"/>
  <c r="G3" i="3"/>
  <c r="Y10" i="3"/>
  <c r="O137" i="1"/>
  <c r="R10" i="3"/>
  <c r="P10" i="3"/>
  <c r="Y19" i="3"/>
  <c r="F25" i="3"/>
  <c r="Y29" i="3"/>
  <c r="I104" i="1"/>
  <c r="E23" i="3"/>
  <c r="Y5" i="3"/>
  <c r="AX196" i="1"/>
  <c r="AN196" i="1"/>
  <c r="U10" i="3"/>
  <c r="E2" i="3"/>
  <c r="B2" i="3"/>
  <c r="Y24" i="3"/>
  <c r="S10" i="3"/>
  <c r="S359" i="1"/>
  <c r="C359" i="1" s="1"/>
  <c r="E359" i="1" s="1"/>
  <c r="Y13" i="3"/>
  <c r="AS76" i="1"/>
  <c r="F2" i="3"/>
  <c r="Y18" i="3"/>
  <c r="O257" i="1"/>
  <c r="R18" i="3"/>
  <c r="Q137" i="1"/>
  <c r="Y2" i="3"/>
  <c r="Y9" i="3"/>
  <c r="M344" i="1"/>
  <c r="C344" i="1" s="1"/>
  <c r="E344" i="1" s="1"/>
  <c r="AW136" i="1"/>
  <c r="AT136" i="1"/>
  <c r="AY136" i="1"/>
  <c r="Y26" i="3"/>
  <c r="AU136" i="1"/>
  <c r="L103" i="1"/>
  <c r="L118" i="1" s="1"/>
  <c r="L133" i="1" s="1"/>
  <c r="L148" i="1" s="1"/>
  <c r="L163" i="1" s="1"/>
  <c r="L178" i="1" s="1"/>
  <c r="L193" i="1" s="1"/>
  <c r="L208" i="1" s="1"/>
  <c r="L223" i="1" s="1"/>
  <c r="L238" i="1" s="1"/>
  <c r="L253" i="1" s="1"/>
  <c r="L268" i="1" s="1"/>
  <c r="L283" i="1" s="1"/>
  <c r="L298" i="1" s="1"/>
  <c r="L313" i="1" s="1"/>
  <c r="L328" i="1" s="1"/>
  <c r="L343" i="1" s="1"/>
  <c r="L358" i="1" s="1"/>
  <c r="L373" i="1" s="1"/>
  <c r="L388" i="1" s="1"/>
  <c r="L403" i="1" s="1"/>
  <c r="L418" i="1" s="1"/>
  <c r="L433" i="1" s="1"/>
  <c r="L448" i="1" s="1"/>
  <c r="L463" i="1" s="1"/>
  <c r="L478" i="1" s="1"/>
  <c r="L493" i="1" s="1"/>
  <c r="L508" i="1" s="1"/>
  <c r="Y16" i="3"/>
  <c r="A29" i="3"/>
  <c r="Q422" i="1" s="1"/>
  <c r="AS421" i="1"/>
  <c r="AL421" i="1"/>
  <c r="K2" i="3"/>
  <c r="AO136" i="1"/>
  <c r="AM136" i="1"/>
  <c r="AP136" i="1"/>
  <c r="AR136" i="1"/>
  <c r="Y21" i="3"/>
  <c r="E27" i="3"/>
  <c r="M329" i="1"/>
  <c r="Y6" i="3"/>
  <c r="I329" i="1"/>
  <c r="F6" i="3"/>
  <c r="AX76" i="1"/>
  <c r="C27" i="3"/>
  <c r="S239" i="1"/>
  <c r="C239" i="1" s="1"/>
  <c r="E239" i="1" s="1"/>
  <c r="A26" i="3"/>
  <c r="AP376" i="1"/>
  <c r="AS376" i="1"/>
  <c r="AM16" i="1"/>
  <c r="AQ361" i="1"/>
  <c r="AX361" i="1"/>
  <c r="G7" i="3"/>
  <c r="O18" i="3"/>
  <c r="Y11" i="3"/>
  <c r="U344" i="1"/>
  <c r="AS256" i="1"/>
  <c r="AW256" i="1"/>
  <c r="AY256" i="1"/>
  <c r="G27" i="3"/>
  <c r="Y14" i="3"/>
  <c r="J43" i="1"/>
  <c r="J58" i="1" s="1"/>
  <c r="J73" i="1" s="1"/>
  <c r="J88" i="1" s="1"/>
  <c r="J103" i="1" s="1"/>
  <c r="J118" i="1" s="1"/>
  <c r="J133" i="1" s="1"/>
  <c r="J148" i="1" s="1"/>
  <c r="J163" i="1" s="1"/>
  <c r="J178" i="1" s="1"/>
  <c r="J193" i="1" s="1"/>
  <c r="J208" i="1" s="1"/>
  <c r="J223" i="1" s="1"/>
  <c r="J238" i="1" s="1"/>
  <c r="J253" i="1" s="1"/>
  <c r="J268" i="1" s="1"/>
  <c r="J283" i="1" s="1"/>
  <c r="J298" i="1" s="1"/>
  <c r="J313" i="1" s="1"/>
  <c r="J328" i="1" s="1"/>
  <c r="J343" i="1" s="1"/>
  <c r="J358" i="1" s="1"/>
  <c r="J373" i="1" s="1"/>
  <c r="J388" i="1" s="1"/>
  <c r="J403" i="1" s="1"/>
  <c r="J418" i="1" s="1"/>
  <c r="J433" i="1" s="1"/>
  <c r="J448" i="1" s="1"/>
  <c r="J463" i="1" s="1"/>
  <c r="J478" i="1" s="1"/>
  <c r="J493" i="1" s="1"/>
  <c r="J508" i="1" s="1"/>
  <c r="Q44" i="1"/>
  <c r="U18" i="3"/>
  <c r="AL121" i="1"/>
  <c r="AX121" i="1"/>
  <c r="Y25" i="3"/>
  <c r="Y20" i="3"/>
  <c r="T43" i="1"/>
  <c r="T58" i="1" s="1"/>
  <c r="T73" i="1" s="1"/>
  <c r="T88" i="1" s="1"/>
  <c r="T103" i="1" s="1"/>
  <c r="T118" i="1" s="1"/>
  <c r="T133" i="1" s="1"/>
  <c r="T148" i="1" s="1"/>
  <c r="T163" i="1" s="1"/>
  <c r="T178" i="1" s="1"/>
  <c r="T193" i="1" s="1"/>
  <c r="T208" i="1" s="1"/>
  <c r="T223" i="1" s="1"/>
  <c r="T238" i="1" s="1"/>
  <c r="T253" i="1" s="1"/>
  <c r="T268" i="1" s="1"/>
  <c r="T283" i="1" s="1"/>
  <c r="T298" i="1" s="1"/>
  <c r="T313" i="1" s="1"/>
  <c r="T328" i="1" s="1"/>
  <c r="T343" i="1" s="1"/>
  <c r="T358" i="1" s="1"/>
  <c r="T373" i="1" s="1"/>
  <c r="T388" i="1" s="1"/>
  <c r="T403" i="1" s="1"/>
  <c r="T418" i="1" s="1"/>
  <c r="T433" i="1" s="1"/>
  <c r="T448" i="1" s="1"/>
  <c r="T463" i="1" s="1"/>
  <c r="T478" i="1" s="1"/>
  <c r="T493" i="1" s="1"/>
  <c r="T508" i="1" s="1"/>
  <c r="Y8" i="3"/>
  <c r="Y27" i="3"/>
  <c r="Y30" i="3"/>
  <c r="Y3" i="3"/>
  <c r="Q257" i="1"/>
  <c r="U257" i="1"/>
  <c r="AM286" i="1"/>
  <c r="AT286" i="1"/>
  <c r="AT451" i="1"/>
  <c r="AM451" i="1"/>
  <c r="AM436" i="1"/>
  <c r="AL406" i="1"/>
  <c r="AS406" i="1"/>
  <c r="AS466" i="1"/>
  <c r="AL466" i="1"/>
  <c r="AV136" i="1"/>
  <c r="G25" i="3"/>
  <c r="P44" i="1"/>
  <c r="E8" i="3"/>
  <c r="I137" i="1"/>
  <c r="O10" i="3"/>
  <c r="B4" i="3"/>
  <c r="B31" i="3"/>
  <c r="U31" i="3" s="1"/>
  <c r="C14" i="3"/>
  <c r="G33" i="3"/>
  <c r="E26" i="3"/>
  <c r="F5" i="3"/>
  <c r="B5" i="3"/>
  <c r="I179" i="1"/>
  <c r="F14" i="3"/>
  <c r="G11" i="3"/>
  <c r="A11" i="3"/>
  <c r="K44" i="1"/>
  <c r="AM44" i="1" s="1"/>
  <c r="Q18" i="3"/>
  <c r="M257" i="1"/>
  <c r="F4" i="3"/>
  <c r="W20" i="24"/>
  <c r="K119" i="1"/>
  <c r="A28" i="3"/>
  <c r="K407" i="1" s="1"/>
  <c r="Q179" i="1"/>
  <c r="F12" i="3"/>
  <c r="U14" i="1"/>
  <c r="V12" i="1"/>
  <c r="V27" i="1" s="1"/>
  <c r="V42" i="1" s="1"/>
  <c r="V57" i="1" s="1"/>
  <c r="V72" i="1" s="1"/>
  <c r="V87" i="1" s="1"/>
  <c r="V102" i="1" s="1"/>
  <c r="V117" i="1" s="1"/>
  <c r="V132" i="1" s="1"/>
  <c r="V147" i="1" s="1"/>
  <c r="V162" i="1" s="1"/>
  <c r="V177" i="1" s="1"/>
  <c r="V192" i="1" s="1"/>
  <c r="V207" i="1" s="1"/>
  <c r="V222" i="1" s="1"/>
  <c r="V237" i="1" s="1"/>
  <c r="V252" i="1" s="1"/>
  <c r="V267" i="1" s="1"/>
  <c r="V282" i="1" s="1"/>
  <c r="V297" i="1" s="1"/>
  <c r="V312" i="1" s="1"/>
  <c r="V327" i="1" s="1"/>
  <c r="V342" i="1" s="1"/>
  <c r="V357" i="1" s="1"/>
  <c r="V372" i="1" s="1"/>
  <c r="V387" i="1" s="1"/>
  <c r="V402" i="1" s="1"/>
  <c r="V417" i="1" s="1"/>
  <c r="V432" i="1" s="1"/>
  <c r="V447" i="1" s="1"/>
  <c r="V462" i="1" s="1"/>
  <c r="V477" i="1" s="1"/>
  <c r="V492" i="1" s="1"/>
  <c r="V507" i="1" s="1"/>
  <c r="M179" i="1"/>
  <c r="S257" i="1"/>
  <c r="T18" i="3"/>
  <c r="AU376" i="1"/>
  <c r="C26" i="3"/>
  <c r="T26" i="3" s="1"/>
  <c r="B30" i="3"/>
  <c r="O437" i="1" s="1"/>
  <c r="AT436" i="1"/>
  <c r="AL76" i="1"/>
  <c r="A6" i="3"/>
  <c r="G16" i="3"/>
  <c r="R13" i="1"/>
  <c r="R28" i="1" s="1"/>
  <c r="R43" i="1" s="1"/>
  <c r="R58" i="1" s="1"/>
  <c r="R73" i="1" s="1"/>
  <c r="R88" i="1" s="1"/>
  <c r="R103" i="1" s="1"/>
  <c r="R118" i="1" s="1"/>
  <c r="R133" i="1" s="1"/>
  <c r="R148" i="1" s="1"/>
  <c r="R163" i="1" s="1"/>
  <c r="R178" i="1" s="1"/>
  <c r="R193" i="1" s="1"/>
  <c r="R208" i="1" s="1"/>
  <c r="R223" i="1" s="1"/>
  <c r="R238" i="1" s="1"/>
  <c r="R253" i="1" s="1"/>
  <c r="R268" i="1" s="1"/>
  <c r="R283" i="1" s="1"/>
  <c r="R298" i="1" s="1"/>
  <c r="R313" i="1" s="1"/>
  <c r="R328" i="1" s="1"/>
  <c r="R343" i="1" s="1"/>
  <c r="R358" i="1" s="1"/>
  <c r="R373" i="1" s="1"/>
  <c r="R388" i="1" s="1"/>
  <c r="R403" i="1" s="1"/>
  <c r="R418" i="1" s="1"/>
  <c r="R433" i="1" s="1"/>
  <c r="R448" i="1" s="1"/>
  <c r="R463" i="1" s="1"/>
  <c r="R478" i="1" s="1"/>
  <c r="R493" i="1" s="1"/>
  <c r="R508" i="1" s="1"/>
  <c r="E13" i="1"/>
  <c r="B16" i="3"/>
  <c r="G12" i="3"/>
  <c r="G6" i="3"/>
  <c r="AR76" i="1"/>
  <c r="M44" i="1"/>
  <c r="C33" i="3"/>
  <c r="Q14" i="1"/>
  <c r="R12" i="1"/>
  <c r="R27" i="1" s="1"/>
  <c r="R42" i="1" s="1"/>
  <c r="R57" i="1" s="1"/>
  <c r="R72" i="1" s="1"/>
  <c r="R87" i="1" s="1"/>
  <c r="R102" i="1" s="1"/>
  <c r="R117" i="1" s="1"/>
  <c r="R132" i="1" s="1"/>
  <c r="R147" i="1" s="1"/>
  <c r="R162" i="1" s="1"/>
  <c r="R177" i="1" s="1"/>
  <c r="R192" i="1" s="1"/>
  <c r="R207" i="1" s="1"/>
  <c r="R222" i="1" s="1"/>
  <c r="R237" i="1" s="1"/>
  <c r="R252" i="1" s="1"/>
  <c r="R267" i="1" s="1"/>
  <c r="R282" i="1" s="1"/>
  <c r="R297" i="1" s="1"/>
  <c r="R312" i="1" s="1"/>
  <c r="R327" i="1" s="1"/>
  <c r="R342" i="1" s="1"/>
  <c r="R357" i="1" s="1"/>
  <c r="R372" i="1" s="1"/>
  <c r="R387" i="1" s="1"/>
  <c r="R402" i="1" s="1"/>
  <c r="R417" i="1" s="1"/>
  <c r="R432" i="1" s="1"/>
  <c r="R447" i="1" s="1"/>
  <c r="R462" i="1" s="1"/>
  <c r="R477" i="1" s="1"/>
  <c r="R492" i="1" s="1"/>
  <c r="R507" i="1" s="1"/>
  <c r="A32" i="3"/>
  <c r="Q467" i="1" s="1"/>
  <c r="I14" i="1"/>
  <c r="E12" i="1"/>
  <c r="J12" i="1"/>
  <c r="J27" i="1" s="1"/>
  <c r="J42" i="1" s="1"/>
  <c r="J57" i="1" s="1"/>
  <c r="J72" i="1" s="1"/>
  <c r="J87" i="1" s="1"/>
  <c r="J102" i="1" s="1"/>
  <c r="J117" i="1" s="1"/>
  <c r="J132" i="1" s="1"/>
  <c r="J147" i="1" s="1"/>
  <c r="J162" i="1" s="1"/>
  <c r="J177" i="1" s="1"/>
  <c r="J192" i="1" s="1"/>
  <c r="J207" i="1" s="1"/>
  <c r="J222" i="1" s="1"/>
  <c r="J237" i="1" s="1"/>
  <c r="J252" i="1" s="1"/>
  <c r="J267" i="1" s="1"/>
  <c r="J282" i="1" s="1"/>
  <c r="J297" i="1" s="1"/>
  <c r="J312" i="1" s="1"/>
  <c r="J327" i="1" s="1"/>
  <c r="J342" i="1" s="1"/>
  <c r="J357" i="1" s="1"/>
  <c r="J372" i="1" s="1"/>
  <c r="J387" i="1" s="1"/>
  <c r="J402" i="1" s="1"/>
  <c r="J417" i="1" s="1"/>
  <c r="J432" i="1" s="1"/>
  <c r="J447" i="1" s="1"/>
  <c r="J462" i="1" s="1"/>
  <c r="J477" i="1" s="1"/>
  <c r="J492" i="1" s="1"/>
  <c r="J507" i="1" s="1"/>
  <c r="A9" i="3"/>
  <c r="A3" i="3"/>
  <c r="M74" i="1"/>
  <c r="AL74" i="1" s="1"/>
  <c r="S452" i="1"/>
  <c r="T31" i="3"/>
  <c r="F11" i="3"/>
  <c r="I119" i="1"/>
  <c r="A16" i="3"/>
  <c r="M164" i="1"/>
  <c r="C16" i="3"/>
  <c r="E4" i="3"/>
  <c r="S4" i="3" s="1"/>
  <c r="F1" i="3"/>
  <c r="M14" i="1"/>
  <c r="N12" i="1"/>
  <c r="N27" i="1" s="1"/>
  <c r="N42" i="1" s="1"/>
  <c r="N57" i="1" s="1"/>
  <c r="N72" i="1" s="1"/>
  <c r="N87" i="1" s="1"/>
  <c r="N102" i="1" s="1"/>
  <c r="N117" i="1" s="1"/>
  <c r="N132" i="1" s="1"/>
  <c r="N147" i="1" s="1"/>
  <c r="N162" i="1" s="1"/>
  <c r="N177" i="1" s="1"/>
  <c r="N192" i="1" s="1"/>
  <c r="N207" i="1" s="1"/>
  <c r="N222" i="1" s="1"/>
  <c r="N237" i="1" s="1"/>
  <c r="N252" i="1" s="1"/>
  <c r="N267" i="1" s="1"/>
  <c r="N282" i="1" s="1"/>
  <c r="N297" i="1" s="1"/>
  <c r="N312" i="1" s="1"/>
  <c r="N327" i="1" s="1"/>
  <c r="N342" i="1" s="1"/>
  <c r="N357" i="1" s="1"/>
  <c r="N372" i="1" s="1"/>
  <c r="N387" i="1" s="1"/>
  <c r="N402" i="1" s="1"/>
  <c r="N417" i="1" s="1"/>
  <c r="N432" i="1" s="1"/>
  <c r="N447" i="1" s="1"/>
  <c r="N462" i="1" s="1"/>
  <c r="N477" i="1" s="1"/>
  <c r="N492" i="1" s="1"/>
  <c r="N507" i="1" s="1"/>
  <c r="S44" i="1"/>
  <c r="T42" i="1"/>
  <c r="T57" i="1" s="1"/>
  <c r="T72" i="1" s="1"/>
  <c r="T87" i="1" s="1"/>
  <c r="T102" i="1" s="1"/>
  <c r="T117" i="1" s="1"/>
  <c r="T132" i="1" s="1"/>
  <c r="T147" i="1" s="1"/>
  <c r="T162" i="1" s="1"/>
  <c r="T177" i="1" s="1"/>
  <c r="T192" i="1" s="1"/>
  <c r="T207" i="1" s="1"/>
  <c r="T222" i="1" s="1"/>
  <c r="T237" i="1" s="1"/>
  <c r="T252" i="1" s="1"/>
  <c r="T267" i="1" s="1"/>
  <c r="T282" i="1" s="1"/>
  <c r="T297" i="1" s="1"/>
  <c r="T312" i="1" s="1"/>
  <c r="T327" i="1" s="1"/>
  <c r="T342" i="1" s="1"/>
  <c r="T357" i="1" s="1"/>
  <c r="T372" i="1" s="1"/>
  <c r="T387" i="1" s="1"/>
  <c r="T402" i="1" s="1"/>
  <c r="T417" i="1" s="1"/>
  <c r="T432" i="1" s="1"/>
  <c r="T447" i="1" s="1"/>
  <c r="T462" i="1" s="1"/>
  <c r="T477" i="1" s="1"/>
  <c r="T492" i="1" s="1"/>
  <c r="T507" i="1" s="1"/>
  <c r="K14" i="1"/>
  <c r="L12" i="1"/>
  <c r="L27" i="1" s="1"/>
  <c r="L42" i="1" s="1"/>
  <c r="L57" i="1" s="1"/>
  <c r="L72" i="1" s="1"/>
  <c r="L87" i="1" s="1"/>
  <c r="L102" i="1" s="1"/>
  <c r="L117" i="1" s="1"/>
  <c r="L132" i="1" s="1"/>
  <c r="L147" i="1" s="1"/>
  <c r="L162" i="1" s="1"/>
  <c r="L177" i="1" s="1"/>
  <c r="L192" i="1" s="1"/>
  <c r="L207" i="1" s="1"/>
  <c r="L222" i="1" s="1"/>
  <c r="L237" i="1" s="1"/>
  <c r="L252" i="1" s="1"/>
  <c r="L267" i="1" s="1"/>
  <c r="L282" i="1" s="1"/>
  <c r="L297" i="1" s="1"/>
  <c r="L312" i="1" s="1"/>
  <c r="L327" i="1" s="1"/>
  <c r="L342" i="1" s="1"/>
  <c r="L357" i="1" s="1"/>
  <c r="L372" i="1" s="1"/>
  <c r="L387" i="1" s="1"/>
  <c r="L402" i="1" s="1"/>
  <c r="L417" i="1" s="1"/>
  <c r="L432" i="1" s="1"/>
  <c r="L447" i="1" s="1"/>
  <c r="L462" i="1" s="1"/>
  <c r="L477" i="1" s="1"/>
  <c r="L492" i="1" s="1"/>
  <c r="L507" i="1" s="1"/>
  <c r="C8" i="3"/>
  <c r="B25" i="3"/>
  <c r="AM361" i="1"/>
  <c r="F33" i="3"/>
  <c r="S467" i="1"/>
  <c r="G24" i="3"/>
  <c r="F9" i="3"/>
  <c r="E11" i="3"/>
  <c r="A33" i="3"/>
  <c r="A14" i="3"/>
  <c r="AS196" i="1"/>
  <c r="K164" i="1"/>
  <c r="AM164" i="1" s="1"/>
  <c r="E16" i="3"/>
  <c r="M452" i="1"/>
  <c r="Q31" i="3"/>
  <c r="S437" i="1"/>
  <c r="T10" i="3"/>
  <c r="S137" i="1"/>
  <c r="B20" i="3"/>
  <c r="A24" i="3"/>
  <c r="E29" i="1"/>
  <c r="G2" i="3"/>
  <c r="R2" i="3" s="1"/>
  <c r="T13" i="3"/>
  <c r="S182" i="1"/>
  <c r="E5" i="3"/>
  <c r="P18" i="3"/>
  <c r="K257" i="1"/>
  <c r="Q10" i="3"/>
  <c r="M137" i="1"/>
  <c r="HT23" i="33"/>
  <c r="HP100" i="33" s="1"/>
  <c r="HU23" i="33"/>
  <c r="HR100" i="33" s="1"/>
  <c r="HO23" i="33"/>
  <c r="HP23" i="33"/>
  <c r="HN23" i="33"/>
  <c r="IM22" i="33"/>
  <c r="II99" i="33" s="1"/>
  <c r="IN22" i="33"/>
  <c r="IK99" i="33" s="1"/>
  <c r="IG22" i="33"/>
  <c r="IH22" i="33"/>
  <c r="II22" i="33"/>
  <c r="DJ25" i="33"/>
  <c r="DF102" i="33" s="1"/>
  <c r="DK25" i="33"/>
  <c r="DH102" i="33" s="1"/>
  <c r="DD25" i="33"/>
  <c r="DE25" i="33"/>
  <c r="DF25" i="33"/>
  <c r="LZ5" i="33"/>
  <c r="LX5" i="33"/>
  <c r="MD5" i="33"/>
  <c r="LZ82" i="33" s="1"/>
  <c r="LY5" i="33"/>
  <c r="ME5" i="33"/>
  <c r="MB82" i="33" s="1"/>
  <c r="IM28" i="33"/>
  <c r="II105" i="33" s="1"/>
  <c r="IG28" i="33"/>
  <c r="IH28" i="33"/>
  <c r="IN28" i="33"/>
  <c r="IK105" i="33" s="1"/>
  <c r="II28" i="33"/>
  <c r="FP30" i="33"/>
  <c r="FM107" i="33" s="1"/>
  <c r="FK30" i="33"/>
  <c r="FO30" i="33"/>
  <c r="FK107" i="33" s="1"/>
  <c r="FI30" i="33"/>
  <c r="FJ30" i="33"/>
  <c r="O28" i="33"/>
  <c r="M28" i="33"/>
  <c r="N28" i="33"/>
  <c r="S28" i="33"/>
  <c r="O105" i="33" s="1"/>
  <c r="T28" i="33"/>
  <c r="Q105" i="33" s="1"/>
  <c r="KL25" i="33"/>
  <c r="KN25" i="33"/>
  <c r="KM25" i="33"/>
  <c r="KR25" i="33"/>
  <c r="KN102" i="33" s="1"/>
  <c r="KS25" i="33"/>
  <c r="KP102" i="33" s="1"/>
  <c r="JZ26" i="33"/>
  <c r="JW103" i="33" s="1"/>
  <c r="JT26" i="33"/>
  <c r="JY26" i="33"/>
  <c r="JU103" i="33" s="1"/>
  <c r="JS26" i="33"/>
  <c r="JU26" i="33"/>
  <c r="JB23" i="33"/>
  <c r="IZ23" i="33"/>
  <c r="JA23" i="33"/>
  <c r="JG23" i="33"/>
  <c r="JD100" i="33" s="1"/>
  <c r="JF23" i="33"/>
  <c r="JB100" i="33" s="1"/>
  <c r="LE22" i="33"/>
  <c r="LL22" i="33"/>
  <c r="LI99" i="33" s="1"/>
  <c r="LG22" i="33"/>
  <c r="LK22" i="33"/>
  <c r="LG99" i="33" s="1"/>
  <c r="LF22" i="33"/>
  <c r="HA22" i="33"/>
  <c r="GW99" i="33" s="1"/>
  <c r="HB22" i="33"/>
  <c r="GY99" i="33" s="1"/>
  <c r="GW22" i="33"/>
  <c r="GV22" i="33"/>
  <c r="GU22" i="33"/>
  <c r="EC28" i="33"/>
  <c r="DY105" i="33" s="1"/>
  <c r="ED28" i="33"/>
  <c r="EA105" i="33" s="1"/>
  <c r="DW28" i="33"/>
  <c r="DY28" i="33"/>
  <c r="DX28" i="33"/>
  <c r="GV29" i="33"/>
  <c r="GW29" i="33"/>
  <c r="GU29" i="33"/>
  <c r="HA29" i="33"/>
  <c r="GW106" i="33" s="1"/>
  <c r="HB29" i="33"/>
  <c r="GY106" i="33" s="1"/>
  <c r="GV37" i="33"/>
  <c r="HB37" i="33"/>
  <c r="GY114" i="33" s="1"/>
  <c r="GU37" i="33"/>
  <c r="GW37" i="33"/>
  <c r="HA37" i="33"/>
  <c r="GW114" i="33" s="1"/>
  <c r="JS24" i="33"/>
  <c r="JU24" i="33"/>
  <c r="JT24" i="33"/>
  <c r="JY24" i="33"/>
  <c r="JU101" i="33" s="1"/>
  <c r="JZ24" i="33"/>
  <c r="JW101" i="33" s="1"/>
  <c r="M26" i="33"/>
  <c r="N26" i="33"/>
  <c r="S26" i="33"/>
  <c r="O103" i="33" s="1"/>
  <c r="T26" i="33"/>
  <c r="Q103" i="33" s="1"/>
  <c r="O26" i="33"/>
  <c r="M22" i="33"/>
  <c r="T22" i="33"/>
  <c r="Q99" i="33" s="1"/>
  <c r="O22" i="33"/>
  <c r="S22" i="33"/>
  <c r="O99" i="33" s="1"/>
  <c r="N22" i="33"/>
  <c r="CQ37" i="33"/>
  <c r="CM114" i="33" s="1"/>
  <c r="CR37" i="33"/>
  <c r="CO114" i="33" s="1"/>
  <c r="CK37" i="33"/>
  <c r="CM37" i="33"/>
  <c r="CL37" i="33"/>
  <c r="LG37" i="33"/>
  <c r="LE37" i="33"/>
  <c r="LF37" i="33"/>
  <c r="LK37" i="33"/>
  <c r="LG114" i="33" s="1"/>
  <c r="LL37" i="33"/>
  <c r="LI114" i="33" s="1"/>
  <c r="BS29" i="33"/>
  <c r="BY29" i="33"/>
  <c r="BV106" i="33" s="1"/>
  <c r="BX29" i="33"/>
  <c r="BT106" i="33" s="1"/>
  <c r="BT29" i="33"/>
  <c r="BR29" i="33"/>
  <c r="EW32" i="33"/>
  <c r="ET109" i="33" s="1"/>
  <c r="EQ32" i="33"/>
  <c r="EV32" i="33"/>
  <c r="ER109" i="33" s="1"/>
  <c r="EP32" i="33"/>
  <c r="ER32" i="33"/>
  <c r="HB35" i="33"/>
  <c r="GY112" i="33" s="1"/>
  <c r="HA35" i="33"/>
  <c r="GW112" i="33" s="1"/>
  <c r="GU35" i="33"/>
  <c r="GW35" i="33"/>
  <c r="GV35" i="33"/>
  <c r="GB23" i="33"/>
  <c r="GD23" i="33"/>
  <c r="GI23" i="33"/>
  <c r="GF100" i="33" s="1"/>
  <c r="GH23" i="33"/>
  <c r="GD100" i="33" s="1"/>
  <c r="GC23" i="33"/>
  <c r="II26" i="33"/>
  <c r="IM26" i="33"/>
  <c r="II103" i="33" s="1"/>
  <c r="IG26" i="33"/>
  <c r="IH26" i="33"/>
  <c r="IN26" i="33"/>
  <c r="IK103" i="33" s="1"/>
  <c r="GB21" i="33"/>
  <c r="GH21" i="33"/>
  <c r="GD98" i="33" s="1"/>
  <c r="GD21" i="33"/>
  <c r="GI21" i="33"/>
  <c r="GF98" i="33" s="1"/>
  <c r="GC21" i="33"/>
  <c r="AM30" i="33"/>
  <c r="AJ107" i="33" s="1"/>
  <c r="AL30" i="33"/>
  <c r="AH107" i="33" s="1"/>
  <c r="AH30" i="33"/>
  <c r="AG30" i="33"/>
  <c r="AF30" i="33"/>
  <c r="HP21" i="33"/>
  <c r="HT21" i="33"/>
  <c r="HP98" i="33" s="1"/>
  <c r="HN21" i="33"/>
  <c r="HO21" i="33"/>
  <c r="HU21" i="33"/>
  <c r="HR98" i="33" s="1"/>
  <c r="EP21" i="33"/>
  <c r="EW21" i="33"/>
  <c r="ET98" i="33" s="1"/>
  <c r="ER21" i="33"/>
  <c r="EV21" i="33"/>
  <c r="ER98" i="33" s="1"/>
  <c r="EQ21" i="33"/>
  <c r="BY21" i="33"/>
  <c r="BV98" i="33" s="1"/>
  <c r="BT21" i="33"/>
  <c r="BR21" i="33"/>
  <c r="BS21" i="33"/>
  <c r="BX21" i="33"/>
  <c r="BT98" i="33" s="1"/>
  <c r="DJ21" i="33"/>
  <c r="DF98" i="33" s="1"/>
  <c r="DD21" i="33"/>
  <c r="DE21" i="33"/>
  <c r="DF21" i="33"/>
  <c r="DK21" i="33"/>
  <c r="DH98" i="33" s="1"/>
  <c r="JA21" i="33"/>
  <c r="IZ21" i="33"/>
  <c r="JB21" i="33"/>
  <c r="JG21" i="33"/>
  <c r="JD98" i="33" s="1"/>
  <c r="JF21" i="33"/>
  <c r="JB98" i="33" s="1"/>
  <c r="KS21" i="33"/>
  <c r="KP98" i="33" s="1"/>
  <c r="KL21" i="33"/>
  <c r="KN21" i="33"/>
  <c r="KR21" i="33"/>
  <c r="KN98" i="33" s="1"/>
  <c r="KM21" i="33"/>
  <c r="LZ21" i="33"/>
  <c r="LX21" i="33"/>
  <c r="ME21" i="33"/>
  <c r="MB98" i="33" s="1"/>
  <c r="MD21" i="33"/>
  <c r="LZ98" i="33" s="1"/>
  <c r="LY21" i="33"/>
  <c r="AM21" i="33"/>
  <c r="AJ98" i="33" s="1"/>
  <c r="AG21" i="33"/>
  <c r="AH21" i="33"/>
  <c r="AL21" i="33"/>
  <c r="AH98" i="33" s="1"/>
  <c r="AF21" i="33"/>
  <c r="AH32" i="33"/>
  <c r="AM32" i="33"/>
  <c r="AJ109" i="33" s="1"/>
  <c r="AL32" i="33"/>
  <c r="AH109" i="33" s="1"/>
  <c r="AG32" i="33"/>
  <c r="AF32" i="33"/>
  <c r="Q509" i="1"/>
  <c r="E34" i="3" s="1"/>
  <c r="AN46" i="1"/>
  <c r="AM46" i="1"/>
  <c r="AQ46" i="1"/>
  <c r="AP46" i="1"/>
  <c r="AO46" i="1"/>
  <c r="AX46" i="1"/>
  <c r="AT46" i="1"/>
  <c r="AU46" i="1"/>
  <c r="AV46" i="1"/>
  <c r="AW46" i="1"/>
  <c r="E15" i="3"/>
  <c r="C15" i="3"/>
  <c r="F15" i="3"/>
  <c r="G15" i="3"/>
  <c r="AP211" i="1"/>
  <c r="A15" i="3"/>
  <c r="AU211" i="1"/>
  <c r="B15" i="3"/>
  <c r="S509" i="1"/>
  <c r="I509" i="1"/>
  <c r="K509" i="1"/>
  <c r="AO301" i="1" l="1"/>
  <c r="AR301" i="1"/>
  <c r="AP301" i="1"/>
  <c r="AQ301" i="1"/>
  <c r="AN301" i="1"/>
  <c r="AL301" i="1"/>
  <c r="AQ241" i="1"/>
  <c r="AN241" i="1"/>
  <c r="AL241" i="1"/>
  <c r="AP241" i="1"/>
  <c r="AO241" i="1"/>
  <c r="AR241" i="1"/>
  <c r="A34" i="3"/>
  <c r="C509" i="1"/>
  <c r="E509" i="1" s="1"/>
  <c r="AM509" i="1"/>
  <c r="AL509" i="1"/>
  <c r="AO496" i="1" s="1"/>
  <c r="C119" i="1"/>
  <c r="E119" i="1" s="1"/>
  <c r="AM119" i="1"/>
  <c r="AL119" i="1"/>
  <c r="Q452" i="1"/>
  <c r="AM284" i="1"/>
  <c r="C284" i="1"/>
  <c r="E284" i="1" s="1"/>
  <c r="AL284" i="1"/>
  <c r="AM254" i="1"/>
  <c r="AL239" i="1"/>
  <c r="AL359" i="1"/>
  <c r="AL346" i="1" s="1"/>
  <c r="AM256" i="1"/>
  <c r="AO256" i="1"/>
  <c r="AR256" i="1"/>
  <c r="AP256" i="1"/>
  <c r="AN256" i="1"/>
  <c r="AQ256" i="1"/>
  <c r="C254" i="1"/>
  <c r="E254" i="1" s="1"/>
  <c r="AM239" i="1"/>
  <c r="AM359" i="1"/>
  <c r="AY346" i="1" s="1"/>
  <c r="C494" i="1"/>
  <c r="E494" i="1" s="1"/>
  <c r="AT256" i="1"/>
  <c r="AV256" i="1"/>
  <c r="AU256" i="1"/>
  <c r="AX256" i="1"/>
  <c r="AM179" i="1"/>
  <c r="AL179" i="1"/>
  <c r="C179" i="1"/>
  <c r="E179" i="1" s="1"/>
  <c r="AL494" i="1"/>
  <c r="A27" i="3"/>
  <c r="T27" i="3" s="1"/>
  <c r="AM404" i="1"/>
  <c r="AW391" i="1" s="1"/>
  <c r="AL404" i="1"/>
  <c r="AP391" i="1" s="1"/>
  <c r="C404" i="1"/>
  <c r="E404" i="1" s="1"/>
  <c r="C164" i="1"/>
  <c r="E164" i="1" s="1"/>
  <c r="S29" i="3"/>
  <c r="AM74" i="1"/>
  <c r="AM494" i="1"/>
  <c r="AY481" i="1" s="1"/>
  <c r="AL164" i="1"/>
  <c r="C44" i="1"/>
  <c r="E44" i="1" s="1"/>
  <c r="C329" i="1"/>
  <c r="E329" i="1" s="1"/>
  <c r="AM329" i="1"/>
  <c r="AL329" i="1"/>
  <c r="C104" i="1"/>
  <c r="E104" i="1" s="1"/>
  <c r="AM104" i="1"/>
  <c r="AL104" i="1"/>
  <c r="AM314" i="1"/>
  <c r="C74" i="1"/>
  <c r="E74" i="1" s="1"/>
  <c r="AL344" i="1"/>
  <c r="AL44" i="1"/>
  <c r="C314" i="1"/>
  <c r="E314" i="1" s="1"/>
  <c r="AM344" i="1"/>
  <c r="S31" i="3"/>
  <c r="AL256" i="1"/>
  <c r="C14" i="1"/>
  <c r="AM14" i="1"/>
  <c r="AS1" i="1" s="1"/>
  <c r="AL14" i="1"/>
  <c r="AL1" i="1" s="1"/>
  <c r="AP481" i="1"/>
  <c r="T30" i="3"/>
  <c r="AR391" i="1"/>
  <c r="AS346" i="1"/>
  <c r="AU196" i="1"/>
  <c r="M47" i="1"/>
  <c r="O4" i="3"/>
  <c r="I47" i="1"/>
  <c r="U47" i="1"/>
  <c r="Q47" i="1"/>
  <c r="K47" i="1"/>
  <c r="U4" i="3"/>
  <c r="T4" i="3"/>
  <c r="P4" i="3"/>
  <c r="Q4" i="3"/>
  <c r="S47" i="1"/>
  <c r="AY76" i="1"/>
  <c r="AX481" i="1"/>
  <c r="AW376" i="1"/>
  <c r="AL376" i="1"/>
  <c r="AY16" i="1"/>
  <c r="AS481" i="1"/>
  <c r="AT361" i="1"/>
  <c r="AN376" i="1"/>
  <c r="AQ271" i="1"/>
  <c r="AX271" i="1"/>
  <c r="AR346" i="1"/>
  <c r="AU481" i="1"/>
  <c r="AR361" i="1"/>
  <c r="AY361" i="1"/>
  <c r="AQ121" i="1"/>
  <c r="AR16" i="1"/>
  <c r="AL196" i="1"/>
  <c r="AQ196" i="1"/>
  <c r="B17" i="3"/>
  <c r="AM241" i="1"/>
  <c r="AT241" i="1"/>
  <c r="B21" i="3"/>
  <c r="AM301" i="1"/>
  <c r="B19" i="3"/>
  <c r="AN391" i="1"/>
  <c r="AO31" i="1"/>
  <c r="AL31" i="1"/>
  <c r="AR31" i="1"/>
  <c r="AV151" i="1"/>
  <c r="AW151" i="1"/>
  <c r="AX151" i="1"/>
  <c r="AS151" i="1"/>
  <c r="AY151" i="1"/>
  <c r="AO226" i="1"/>
  <c r="AR226" i="1"/>
  <c r="AN226" i="1"/>
  <c r="AL226" i="1"/>
  <c r="AM226" i="1"/>
  <c r="AP226" i="1"/>
  <c r="O25" i="3"/>
  <c r="M362" i="1"/>
  <c r="I362" i="1"/>
  <c r="Q362" i="1"/>
  <c r="Q25" i="3"/>
  <c r="S25" i="3"/>
  <c r="U122" i="1"/>
  <c r="Q9" i="3"/>
  <c r="U9" i="3"/>
  <c r="M122" i="1"/>
  <c r="S6" i="3"/>
  <c r="Q77" i="1"/>
  <c r="M77" i="1"/>
  <c r="Q6" i="3"/>
  <c r="AU466" i="1"/>
  <c r="AV466" i="1"/>
  <c r="AX466" i="1"/>
  <c r="AW466" i="1"/>
  <c r="AT466" i="1"/>
  <c r="AY466" i="1"/>
  <c r="AP346" i="1"/>
  <c r="AM346" i="1"/>
  <c r="AN346" i="1"/>
  <c r="AO346" i="1"/>
  <c r="U14" i="3"/>
  <c r="O13" i="3"/>
  <c r="R26" i="3"/>
  <c r="R9" i="3"/>
  <c r="O17" i="1"/>
  <c r="S9" i="3"/>
  <c r="O422" i="1"/>
  <c r="AU61" i="1"/>
  <c r="O482" i="1"/>
  <c r="R33" i="3"/>
  <c r="M467" i="1"/>
  <c r="Q32" i="3"/>
  <c r="O467" i="1"/>
  <c r="R32" i="3"/>
  <c r="K197" i="1"/>
  <c r="O407" i="1"/>
  <c r="R28" i="3"/>
  <c r="Q407" i="1"/>
  <c r="Q28" i="3"/>
  <c r="M407" i="1"/>
  <c r="S407" i="1"/>
  <c r="U28" i="3"/>
  <c r="T28" i="3"/>
  <c r="S28" i="3"/>
  <c r="U407" i="1"/>
  <c r="AU166" i="1"/>
  <c r="I17" i="1"/>
  <c r="U25" i="3"/>
  <c r="U362" i="1"/>
  <c r="AV406" i="1"/>
  <c r="AY406" i="1"/>
  <c r="AU406" i="1"/>
  <c r="AX406" i="1"/>
  <c r="AW406" i="1"/>
  <c r="AT406" i="1"/>
  <c r="AU286" i="1"/>
  <c r="AS286" i="1"/>
  <c r="AW286" i="1"/>
  <c r="AX286" i="1"/>
  <c r="AY286" i="1"/>
  <c r="AV286" i="1"/>
  <c r="AS16" i="1"/>
  <c r="AU16" i="1"/>
  <c r="AV16" i="1"/>
  <c r="K122" i="1"/>
  <c r="AY121" i="1"/>
  <c r="AU121" i="1"/>
  <c r="AT121" i="1"/>
  <c r="AV121" i="1"/>
  <c r="AW121" i="1"/>
  <c r="R14" i="3"/>
  <c r="AL16" i="1"/>
  <c r="AN16" i="1"/>
  <c r="AO16" i="1"/>
  <c r="O77" i="1"/>
  <c r="Q392" i="1"/>
  <c r="S27" i="3"/>
  <c r="K182" i="1"/>
  <c r="U32" i="3"/>
  <c r="O122" i="1"/>
  <c r="AT16" i="1"/>
  <c r="Q122" i="1"/>
  <c r="P14" i="3"/>
  <c r="P32" i="3"/>
  <c r="S377" i="1"/>
  <c r="P6" i="3"/>
  <c r="AO406" i="1"/>
  <c r="AN406" i="1"/>
  <c r="AR406" i="1"/>
  <c r="AQ406" i="1"/>
  <c r="AP406" i="1"/>
  <c r="AM406" i="1"/>
  <c r="AR286" i="1"/>
  <c r="AN286" i="1"/>
  <c r="AP286" i="1"/>
  <c r="AL286" i="1"/>
  <c r="AO286" i="1"/>
  <c r="AQ286" i="1"/>
  <c r="P9" i="3"/>
  <c r="R30" i="3"/>
  <c r="AN121" i="1"/>
  <c r="AR121" i="1"/>
  <c r="AM121" i="1"/>
  <c r="AP121" i="1"/>
  <c r="AO121" i="1"/>
  <c r="O197" i="1"/>
  <c r="U467" i="1"/>
  <c r="AP421" i="1"/>
  <c r="AN421" i="1"/>
  <c r="AM421" i="1"/>
  <c r="AR421" i="1"/>
  <c r="AQ421" i="1"/>
  <c r="AO421" i="1"/>
  <c r="O377" i="1"/>
  <c r="AW76" i="1"/>
  <c r="AU76" i="1"/>
  <c r="AT76" i="1"/>
  <c r="AV76" i="1"/>
  <c r="R13" i="3"/>
  <c r="P2" i="3"/>
  <c r="K17" i="1"/>
  <c r="T32" i="3"/>
  <c r="K467" i="1"/>
  <c r="K77" i="1"/>
  <c r="AR436" i="1"/>
  <c r="AL436" i="1"/>
  <c r="AP436" i="1"/>
  <c r="AO436" i="1"/>
  <c r="AN436" i="1"/>
  <c r="AQ436" i="1"/>
  <c r="AM391" i="1"/>
  <c r="AL391" i="1"/>
  <c r="AO391" i="1"/>
  <c r="AQ391" i="1"/>
  <c r="AV421" i="1"/>
  <c r="AT421" i="1"/>
  <c r="AU421" i="1"/>
  <c r="AX421" i="1"/>
  <c r="AY421" i="1"/>
  <c r="AW421" i="1"/>
  <c r="S392" i="1"/>
  <c r="AQ16" i="1"/>
  <c r="AQ76" i="1"/>
  <c r="AP76" i="1"/>
  <c r="AN76" i="1"/>
  <c r="AM76" i="1"/>
  <c r="AO76" i="1"/>
  <c r="O182" i="1"/>
  <c r="AP16" i="1"/>
  <c r="AX226" i="1"/>
  <c r="U182" i="1"/>
  <c r="Q287" i="1"/>
  <c r="S20" i="3"/>
  <c r="T20" i="3"/>
  <c r="S287" i="1"/>
  <c r="I287" i="1"/>
  <c r="O20" i="3"/>
  <c r="M287" i="1"/>
  <c r="Q20" i="3"/>
  <c r="S14" i="3"/>
  <c r="Q197" i="1"/>
  <c r="K482" i="1"/>
  <c r="U30" i="3"/>
  <c r="U437" i="1"/>
  <c r="S30" i="3"/>
  <c r="O30" i="3"/>
  <c r="Q437" i="1"/>
  <c r="I437" i="1"/>
  <c r="R4" i="3"/>
  <c r="O2" i="3"/>
  <c r="M17" i="1"/>
  <c r="AS436" i="1"/>
  <c r="AW436" i="1"/>
  <c r="AY436" i="1"/>
  <c r="AV436" i="1"/>
  <c r="AU436" i="1"/>
  <c r="AT31" i="1"/>
  <c r="AO481" i="1"/>
  <c r="AM481" i="1"/>
  <c r="AY376" i="1"/>
  <c r="AT376" i="1"/>
  <c r="AX376" i="1"/>
  <c r="AV376" i="1"/>
  <c r="A22" i="3"/>
  <c r="AN316" i="1"/>
  <c r="AU316" i="1"/>
  <c r="Q482" i="1"/>
  <c r="S33" i="3"/>
  <c r="M182" i="1"/>
  <c r="AX16" i="1"/>
  <c r="AW16" i="1"/>
  <c r="T25" i="3"/>
  <c r="S362" i="1"/>
  <c r="P33" i="3"/>
  <c r="M437" i="1"/>
  <c r="I452" i="1"/>
  <c r="O31" i="3"/>
  <c r="O452" i="1"/>
  <c r="R31" i="3"/>
  <c r="K3" i="3"/>
  <c r="P59" i="1"/>
  <c r="Q2" i="3"/>
  <c r="AL451" i="1"/>
  <c r="AO451" i="1"/>
  <c r="AP451" i="1"/>
  <c r="AN451" i="1"/>
  <c r="AR451" i="1"/>
  <c r="AQ451" i="1"/>
  <c r="O392" i="1"/>
  <c r="E3" i="3"/>
  <c r="AP31" i="1"/>
  <c r="AW481" i="1"/>
  <c r="AV481" i="1"/>
  <c r="AT481" i="1"/>
  <c r="AO376" i="1"/>
  <c r="AM376" i="1"/>
  <c r="AR376" i="1"/>
  <c r="AQ376" i="1"/>
  <c r="M392" i="1"/>
  <c r="Q27" i="3"/>
  <c r="I392" i="1"/>
  <c r="P27" i="3"/>
  <c r="K392" i="1"/>
  <c r="O27" i="3"/>
  <c r="S77" i="1"/>
  <c r="T6" i="3"/>
  <c r="U377" i="1"/>
  <c r="Q24" i="3"/>
  <c r="M422" i="1"/>
  <c r="U422" i="1"/>
  <c r="U29" i="3"/>
  <c r="P29" i="3"/>
  <c r="O29" i="3"/>
  <c r="K422" i="1"/>
  <c r="I422" i="1"/>
  <c r="Q29" i="3"/>
  <c r="T29" i="3"/>
  <c r="S422" i="1"/>
  <c r="S17" i="1"/>
  <c r="T2" i="3"/>
  <c r="F24" i="3"/>
  <c r="O347" i="1" s="1"/>
  <c r="AX346" i="1"/>
  <c r="AQ346" i="1"/>
  <c r="S2" i="3"/>
  <c r="Q17" i="1"/>
  <c r="AO196" i="1"/>
  <c r="AP196" i="1"/>
  <c r="AM196" i="1"/>
  <c r="AR196" i="1"/>
  <c r="O47" i="1"/>
  <c r="Q30" i="3"/>
  <c r="AS451" i="1"/>
  <c r="AV451" i="1"/>
  <c r="AU451" i="1"/>
  <c r="AX451" i="1"/>
  <c r="AW451" i="1"/>
  <c r="AY451" i="1"/>
  <c r="U20" i="3"/>
  <c r="R20" i="3"/>
  <c r="R25" i="3"/>
  <c r="AM151" i="1"/>
  <c r="U27" i="3"/>
  <c r="U392" i="1"/>
  <c r="G23" i="3"/>
  <c r="AV361" i="1"/>
  <c r="AW361" i="1"/>
  <c r="AS361" i="1"/>
  <c r="AU361" i="1"/>
  <c r="K377" i="1"/>
  <c r="O26" i="3"/>
  <c r="P26" i="3"/>
  <c r="I377" i="1"/>
  <c r="Q13" i="3"/>
  <c r="U26" i="3"/>
  <c r="P13" i="3"/>
  <c r="C23" i="3"/>
  <c r="AR331" i="1"/>
  <c r="AY331" i="1"/>
  <c r="Q182" i="1"/>
  <c r="AW196" i="1"/>
  <c r="AY196" i="1"/>
  <c r="AT196" i="1"/>
  <c r="AV196" i="1"/>
  <c r="A7" i="3"/>
  <c r="O212" i="1"/>
  <c r="P28" i="3"/>
  <c r="AS121" i="1"/>
  <c r="S32" i="3"/>
  <c r="U452" i="1"/>
  <c r="U13" i="3"/>
  <c r="AN466" i="1"/>
  <c r="AO466" i="1"/>
  <c r="AQ466" i="1"/>
  <c r="AP466" i="1"/>
  <c r="AM466" i="1"/>
  <c r="AR466" i="1"/>
  <c r="AV346" i="1"/>
  <c r="AU346" i="1"/>
  <c r="AT346" i="1"/>
  <c r="AW346" i="1"/>
  <c r="U287" i="1"/>
  <c r="U197" i="1"/>
  <c r="O287" i="1"/>
  <c r="O362" i="1"/>
  <c r="AN361" i="1"/>
  <c r="AL361" i="1"/>
  <c r="AP361" i="1"/>
  <c r="AO361" i="1"/>
  <c r="F16" i="3"/>
  <c r="O227" i="1" s="1"/>
  <c r="AQ226" i="1"/>
  <c r="R6" i="3"/>
  <c r="C22" i="3"/>
  <c r="U317" i="1" s="1"/>
  <c r="I182" i="1"/>
  <c r="AU181" i="1"/>
  <c r="AT181" i="1"/>
  <c r="AY181" i="1"/>
  <c r="AW181" i="1"/>
  <c r="AX181" i="1"/>
  <c r="AS181" i="1"/>
  <c r="AV181" i="1"/>
  <c r="S13" i="3"/>
  <c r="R29" i="3"/>
  <c r="AX436" i="1"/>
  <c r="N14" i="1"/>
  <c r="C1" i="3"/>
  <c r="U227" i="1"/>
  <c r="S482" i="1"/>
  <c r="T33" i="3"/>
  <c r="R14" i="1"/>
  <c r="E1" i="3"/>
  <c r="M377" i="1"/>
  <c r="Q26" i="3"/>
  <c r="C12" i="3"/>
  <c r="AN166" i="1"/>
  <c r="V14" i="1"/>
  <c r="G1" i="3"/>
  <c r="W12" i="24"/>
  <c r="O9" i="3"/>
  <c r="I122" i="1"/>
  <c r="AM31" i="1"/>
  <c r="B3" i="3"/>
  <c r="U482" i="1"/>
  <c r="U33" i="3"/>
  <c r="U347" i="1"/>
  <c r="P25" i="3"/>
  <c r="K362" i="1"/>
  <c r="L14" i="1"/>
  <c r="P15" i="1" s="1"/>
  <c r="B1" i="3"/>
  <c r="M227" i="1"/>
  <c r="I227" i="1"/>
  <c r="C5" i="3"/>
  <c r="O62" i="1" s="1"/>
  <c r="AN61" i="1"/>
  <c r="O32" i="3"/>
  <c r="I467" i="1"/>
  <c r="I77" i="1"/>
  <c r="O6" i="3"/>
  <c r="K452" i="1"/>
  <c r="P31" i="3"/>
  <c r="AT151" i="1"/>
  <c r="B11" i="3"/>
  <c r="I482" i="1"/>
  <c r="O33" i="3"/>
  <c r="T9" i="3"/>
  <c r="S122" i="1"/>
  <c r="M482" i="1"/>
  <c r="Q33" i="3"/>
  <c r="U77" i="1"/>
  <c r="U6" i="3"/>
  <c r="T14" i="3"/>
  <c r="S197" i="1"/>
  <c r="AL166" i="1"/>
  <c r="A12" i="3"/>
  <c r="AS166" i="1"/>
  <c r="K287" i="1"/>
  <c r="P20" i="3"/>
  <c r="Q227" i="1"/>
  <c r="M1" i="3"/>
  <c r="T29" i="1"/>
  <c r="T44" i="1" s="1"/>
  <c r="M197" i="1"/>
  <c r="Q14" i="3"/>
  <c r="AT211" i="1"/>
  <c r="F3" i="3"/>
  <c r="AQ31" i="1"/>
  <c r="C11" i="3"/>
  <c r="AN151" i="1"/>
  <c r="AU151" i="1"/>
  <c r="A8" i="3"/>
  <c r="AL106" i="1"/>
  <c r="AS106" i="1"/>
  <c r="C3" i="3"/>
  <c r="I32" i="1" s="1"/>
  <c r="AN31" i="1"/>
  <c r="S26" i="3"/>
  <c r="Q377" i="1"/>
  <c r="U2" i="3"/>
  <c r="U17" i="1"/>
  <c r="I197" i="1"/>
  <c r="O14" i="3"/>
  <c r="J14" i="1"/>
  <c r="A1" i="3"/>
  <c r="K437" i="1"/>
  <c r="P30" i="3"/>
  <c r="AP166" i="1"/>
  <c r="E12" i="3"/>
  <c r="U12" i="3" s="1"/>
  <c r="I407" i="1"/>
  <c r="O28" i="3"/>
  <c r="B8" i="3"/>
  <c r="AM106" i="1"/>
  <c r="AT106" i="1"/>
  <c r="W6" i="24"/>
  <c r="AS211" i="1"/>
  <c r="AX211" i="1"/>
  <c r="AM211" i="1"/>
  <c r="Q212" i="1"/>
  <c r="S15" i="3"/>
  <c r="AL211" i="1"/>
  <c r="AR211" i="1"/>
  <c r="AQ211" i="1"/>
  <c r="AN211" i="1"/>
  <c r="K212" i="1"/>
  <c r="P15" i="3"/>
  <c r="O15" i="3"/>
  <c r="I212" i="1"/>
  <c r="R15" i="3"/>
  <c r="AY211" i="1"/>
  <c r="AO211" i="1"/>
  <c r="U15" i="3"/>
  <c r="U212" i="1"/>
  <c r="M212" i="1"/>
  <c r="Q15" i="3"/>
  <c r="AV211" i="1"/>
  <c r="S212" i="1"/>
  <c r="T15" i="3"/>
  <c r="AW211" i="1"/>
  <c r="F34" i="3"/>
  <c r="AT496" i="1"/>
  <c r="B34" i="3"/>
  <c r="AV496" i="1"/>
  <c r="AX391" i="1" l="1"/>
  <c r="O497" i="1"/>
  <c r="S16" i="3"/>
  <c r="O16" i="3"/>
  <c r="AV391" i="1"/>
  <c r="AQ481" i="1"/>
  <c r="AL481" i="1"/>
  <c r="AN481" i="1"/>
  <c r="AR481" i="1"/>
  <c r="AV271" i="1"/>
  <c r="AS271" i="1"/>
  <c r="AY271" i="1"/>
  <c r="AU271" i="1"/>
  <c r="AW271" i="1"/>
  <c r="M107" i="1"/>
  <c r="Q16" i="3"/>
  <c r="AY391" i="1"/>
  <c r="AS391" i="1"/>
  <c r="R27" i="3"/>
  <c r="AT271" i="1"/>
  <c r="AO271" i="1"/>
  <c r="AL271" i="1"/>
  <c r="AR271" i="1"/>
  <c r="AN271" i="1"/>
  <c r="AP271" i="1"/>
  <c r="AU391" i="1"/>
  <c r="AT391" i="1"/>
  <c r="P16" i="3"/>
  <c r="AM271" i="1"/>
  <c r="K62" i="1"/>
  <c r="K227" i="1"/>
  <c r="O24" i="3"/>
  <c r="Q107" i="1"/>
  <c r="P5" i="3"/>
  <c r="I347" i="1"/>
  <c r="AX241" i="1"/>
  <c r="AU241" i="1"/>
  <c r="AY241" i="1"/>
  <c r="AV241" i="1"/>
  <c r="AS241" i="1"/>
  <c r="AW241" i="1"/>
  <c r="AU1" i="1"/>
  <c r="AW1" i="1"/>
  <c r="M347" i="1"/>
  <c r="U24" i="3"/>
  <c r="AU331" i="1"/>
  <c r="T21" i="3"/>
  <c r="S302" i="1"/>
  <c r="Q21" i="3"/>
  <c r="U302" i="1"/>
  <c r="I302" i="1"/>
  <c r="Q302" i="1"/>
  <c r="O21" i="3"/>
  <c r="M302" i="1"/>
  <c r="O302" i="1"/>
  <c r="U21" i="3"/>
  <c r="S21" i="3"/>
  <c r="R21" i="3"/>
  <c r="S19" i="3"/>
  <c r="U272" i="1"/>
  <c r="M272" i="1"/>
  <c r="I272" i="1"/>
  <c r="Q19" i="3"/>
  <c r="O19" i="3"/>
  <c r="Q272" i="1"/>
  <c r="U19" i="3"/>
  <c r="R19" i="3"/>
  <c r="O272" i="1"/>
  <c r="T19" i="3"/>
  <c r="S272" i="1"/>
  <c r="Q242" i="1"/>
  <c r="U242" i="1"/>
  <c r="T17" i="3"/>
  <c r="S17" i="3"/>
  <c r="U17" i="3"/>
  <c r="O17" i="3"/>
  <c r="S242" i="1"/>
  <c r="I242" i="1"/>
  <c r="M242" i="1"/>
  <c r="R17" i="3"/>
  <c r="Q17" i="3"/>
  <c r="S167" i="1"/>
  <c r="O152" i="1"/>
  <c r="T5" i="3"/>
  <c r="O3" i="3"/>
  <c r="AU31" i="1"/>
  <c r="AX31" i="1"/>
  <c r="O32" i="1"/>
  <c r="AR1" i="1"/>
  <c r="AY1" i="1"/>
  <c r="AT1" i="1"/>
  <c r="AN1" i="1"/>
  <c r="AP1" i="1"/>
  <c r="AM1" i="1"/>
  <c r="AW166" i="1"/>
  <c r="AL316" i="1"/>
  <c r="AS301" i="1"/>
  <c r="AY301" i="1"/>
  <c r="AW301" i="1"/>
  <c r="AV301" i="1"/>
  <c r="AX301" i="1"/>
  <c r="AU301" i="1"/>
  <c r="P19" i="3"/>
  <c r="K272" i="1"/>
  <c r="AT301" i="1"/>
  <c r="O242" i="1"/>
  <c r="P17" i="3"/>
  <c r="K242" i="1"/>
  <c r="AN331" i="1"/>
  <c r="K302" i="1"/>
  <c r="P21" i="3"/>
  <c r="U11" i="3"/>
  <c r="T11" i="3"/>
  <c r="AV91" i="1"/>
  <c r="AW91" i="1"/>
  <c r="AX91" i="1"/>
  <c r="AU91" i="1"/>
  <c r="AY91" i="1"/>
  <c r="AT91" i="1"/>
  <c r="T24" i="3"/>
  <c r="S347" i="1"/>
  <c r="S24" i="3"/>
  <c r="K347" i="1"/>
  <c r="AO1" i="1"/>
  <c r="AQ1" i="1"/>
  <c r="U22" i="3"/>
  <c r="AV31" i="1"/>
  <c r="AS31" i="1"/>
  <c r="AY31" i="1"/>
  <c r="AO61" i="1"/>
  <c r="AR61" i="1"/>
  <c r="AL61" i="1"/>
  <c r="AQ61" i="1"/>
  <c r="AM61" i="1"/>
  <c r="AP61" i="1"/>
  <c r="P24" i="3"/>
  <c r="U167" i="1"/>
  <c r="S152" i="1"/>
  <c r="AO91" i="1"/>
  <c r="AP91" i="1"/>
  <c r="AQ91" i="1"/>
  <c r="AN91" i="1"/>
  <c r="AM91" i="1"/>
  <c r="AR91" i="1"/>
  <c r="M332" i="1"/>
  <c r="Q23" i="3"/>
  <c r="I332" i="1"/>
  <c r="O332" i="1"/>
  <c r="R23" i="3"/>
  <c r="K332" i="1"/>
  <c r="O23" i="3"/>
  <c r="P23" i="3"/>
  <c r="S332" i="1"/>
  <c r="T23" i="3"/>
  <c r="W31" i="24"/>
  <c r="AV1" i="1"/>
  <c r="AX1" i="1"/>
  <c r="AW316" i="1"/>
  <c r="AV316" i="1"/>
  <c r="AT316" i="1"/>
  <c r="AY316" i="1"/>
  <c r="AX316" i="1"/>
  <c r="W22" i="24"/>
  <c r="U32" i="1"/>
  <c r="R1" i="3"/>
  <c r="O2" i="1"/>
  <c r="S62" i="1"/>
  <c r="T16" i="3"/>
  <c r="S227" i="1"/>
  <c r="P74" i="1"/>
  <c r="K4" i="3"/>
  <c r="R5" i="3"/>
  <c r="AO316" i="1"/>
  <c r="AP316" i="1"/>
  <c r="AM316" i="1"/>
  <c r="AQ316" i="1"/>
  <c r="AR316" i="1"/>
  <c r="W32" i="24"/>
  <c r="U3" i="3"/>
  <c r="R3" i="3"/>
  <c r="W4" i="24"/>
  <c r="AS61" i="1"/>
  <c r="AV61" i="1"/>
  <c r="AY61" i="1"/>
  <c r="AT61" i="1"/>
  <c r="AX61" i="1"/>
  <c r="AW61" i="1"/>
  <c r="O167" i="1"/>
  <c r="R12" i="3"/>
  <c r="P12" i="3"/>
  <c r="K167" i="1"/>
  <c r="T12" i="3"/>
  <c r="W15" i="24"/>
  <c r="AO106" i="1"/>
  <c r="AQ106" i="1"/>
  <c r="AR106" i="1"/>
  <c r="AN106" i="1"/>
  <c r="AP106" i="1"/>
  <c r="W33" i="24"/>
  <c r="S11" i="3"/>
  <c r="AV166" i="1"/>
  <c r="AT166" i="1"/>
  <c r="AX166" i="1"/>
  <c r="AY166" i="1"/>
  <c r="S107" i="1"/>
  <c r="T8" i="3"/>
  <c r="U107" i="1"/>
  <c r="U8" i="3"/>
  <c r="O107" i="1"/>
  <c r="R8" i="3"/>
  <c r="Q8" i="3"/>
  <c r="Q22" i="3"/>
  <c r="M317" i="1"/>
  <c r="AY106" i="1"/>
  <c r="AX106" i="1"/>
  <c r="AV106" i="1"/>
  <c r="AW106" i="1"/>
  <c r="AU106" i="1"/>
  <c r="U23" i="3"/>
  <c r="U332" i="1"/>
  <c r="W29" i="24"/>
  <c r="R22" i="3"/>
  <c r="I317" i="1"/>
  <c r="O22" i="3"/>
  <c r="S22" i="3"/>
  <c r="Q317" i="1"/>
  <c r="O317" i="1"/>
  <c r="S317" i="1"/>
  <c r="P22" i="3"/>
  <c r="T22" i="3"/>
  <c r="K317" i="1"/>
  <c r="AO166" i="1"/>
  <c r="AM166" i="1"/>
  <c r="AQ166" i="1"/>
  <c r="AR166" i="1"/>
  <c r="W27" i="24"/>
  <c r="I152" i="1"/>
  <c r="W13" i="24" s="1"/>
  <c r="Q62" i="1"/>
  <c r="AS91" i="1"/>
  <c r="AS331" i="1"/>
  <c r="AT331" i="1"/>
  <c r="AV331" i="1"/>
  <c r="AX331" i="1"/>
  <c r="AW331" i="1"/>
  <c r="U62" i="1"/>
  <c r="R24" i="3"/>
  <c r="AW31" i="1"/>
  <c r="AS316" i="1"/>
  <c r="S23" i="3"/>
  <c r="R16" i="3"/>
  <c r="O11" i="3"/>
  <c r="S5" i="3"/>
  <c r="T1" i="3"/>
  <c r="O92" i="1"/>
  <c r="R7" i="3"/>
  <c r="U7" i="3"/>
  <c r="P7" i="3"/>
  <c r="Q7" i="3"/>
  <c r="U92" i="1"/>
  <c r="K92" i="1"/>
  <c r="M92" i="1"/>
  <c r="I92" i="1"/>
  <c r="O7" i="3"/>
  <c r="Q92" i="1"/>
  <c r="S7" i="3"/>
  <c r="T7" i="3"/>
  <c r="S92" i="1"/>
  <c r="AL331" i="1"/>
  <c r="AO331" i="1"/>
  <c r="AM331" i="1"/>
  <c r="AQ331" i="1"/>
  <c r="AP331" i="1"/>
  <c r="W28" i="24"/>
  <c r="Q32" i="1"/>
  <c r="S3" i="3"/>
  <c r="AV226" i="1"/>
  <c r="AY226" i="1"/>
  <c r="AT226" i="1"/>
  <c r="AU226" i="1"/>
  <c r="AS226" i="1"/>
  <c r="AW226" i="1"/>
  <c r="Q347" i="1"/>
  <c r="Q332" i="1"/>
  <c r="R11" i="3"/>
  <c r="S8" i="3"/>
  <c r="U152" i="1"/>
  <c r="S2" i="1"/>
  <c r="U16" i="3"/>
  <c r="AL91" i="1"/>
  <c r="AO151" i="1"/>
  <c r="AQ151" i="1"/>
  <c r="AP151" i="1"/>
  <c r="AL151" i="1"/>
  <c r="AR151" i="1"/>
  <c r="U5" i="3"/>
  <c r="O5" i="3"/>
  <c r="I62" i="1"/>
  <c r="E14" i="1"/>
  <c r="DV4" i="1"/>
  <c r="M3" i="3"/>
  <c r="T59" i="1"/>
  <c r="W35" i="24"/>
  <c r="U1" i="3"/>
  <c r="U2" i="1"/>
  <c r="Q167" i="1"/>
  <c r="S12" i="3"/>
  <c r="I2" i="1"/>
  <c r="O1" i="3"/>
  <c r="I107" i="1"/>
  <c r="O8" i="3"/>
  <c r="I167" i="1"/>
  <c r="O12" i="3"/>
  <c r="W8" i="24"/>
  <c r="M62" i="1"/>
  <c r="Q5" i="3"/>
  <c r="W26" i="24"/>
  <c r="M2" i="1"/>
  <c r="Q1" i="3"/>
  <c r="W16" i="24"/>
  <c r="J1" i="3"/>
  <c r="N29" i="1"/>
  <c r="Q152" i="1"/>
  <c r="P11" i="3"/>
  <c r="K152" i="1"/>
  <c r="W34" i="24"/>
  <c r="W18" i="24"/>
  <c r="N1" i="3"/>
  <c r="V29" i="1"/>
  <c r="S1" i="3"/>
  <c r="Q2" i="1"/>
  <c r="K107" i="1"/>
  <c r="P8" i="3"/>
  <c r="H1" i="3"/>
  <c r="J29" i="1"/>
  <c r="M32" i="1"/>
  <c r="Q3" i="3"/>
  <c r="M152" i="1"/>
  <c r="Q11" i="3"/>
  <c r="P1" i="3"/>
  <c r="K2" i="1"/>
  <c r="W11" i="24"/>
  <c r="W5" i="24"/>
  <c r="T15" i="1"/>
  <c r="N15" i="1"/>
  <c r="I1" i="3"/>
  <c r="V15" i="1"/>
  <c r="R15" i="1"/>
  <c r="J15" i="1"/>
  <c r="L29" i="1"/>
  <c r="P30" i="1" s="1"/>
  <c r="P3" i="3"/>
  <c r="K32" i="1"/>
  <c r="M167" i="1"/>
  <c r="Q12" i="3"/>
  <c r="W30" i="24"/>
  <c r="T3" i="3"/>
  <c r="S32" i="1"/>
  <c r="L1" i="3"/>
  <c r="R29" i="1"/>
  <c r="M2" i="3"/>
  <c r="AW496" i="1"/>
  <c r="AU496" i="1"/>
  <c r="AL496" i="1"/>
  <c r="P34" i="3"/>
  <c r="S34" i="3"/>
  <c r="O34" i="3"/>
  <c r="U497" i="1"/>
  <c r="K497" i="1"/>
  <c r="AQ496" i="1"/>
  <c r="Q34" i="3"/>
  <c r="AP496" i="1"/>
  <c r="AN496" i="1"/>
  <c r="AS496" i="1"/>
  <c r="U34" i="3"/>
  <c r="Q497" i="1"/>
  <c r="S497" i="1"/>
  <c r="AX496" i="1"/>
  <c r="AY496" i="1"/>
  <c r="AM496" i="1"/>
  <c r="R34" i="3"/>
  <c r="I497" i="1"/>
  <c r="M497" i="1"/>
  <c r="AR496" i="1"/>
  <c r="W17" i="24"/>
  <c r="T34" i="3"/>
  <c r="Y1" i="3" l="1"/>
  <c r="W23" i="24"/>
  <c r="W21" i="24"/>
  <c r="W19" i="24"/>
  <c r="X1" i="3"/>
  <c r="AL43" i="3"/>
  <c r="P2" i="1"/>
  <c r="V2" i="1"/>
  <c r="V1" i="3"/>
  <c r="AB1" i="3"/>
  <c r="T2" i="1"/>
  <c r="W24" i="24"/>
  <c r="Z1" i="3"/>
  <c r="L2" i="1"/>
  <c r="W1" i="3"/>
  <c r="R2" i="1"/>
  <c r="W25" i="24"/>
  <c r="AA1" i="3"/>
  <c r="W9" i="24"/>
  <c r="P89" i="1"/>
  <c r="K5" i="3"/>
  <c r="W7" i="24"/>
  <c r="L2" i="3"/>
  <c r="R44" i="1"/>
  <c r="W10" i="24"/>
  <c r="M4" i="3"/>
  <c r="T74" i="1"/>
  <c r="AL40" i="3"/>
  <c r="J2" i="3"/>
  <c r="N44" i="1"/>
  <c r="N2" i="3"/>
  <c r="V44" i="1"/>
  <c r="W14" i="24"/>
  <c r="H2" i="3"/>
  <c r="J44" i="1"/>
  <c r="W3" i="24"/>
  <c r="I2" i="3"/>
  <c r="T30" i="1"/>
  <c r="R30" i="1"/>
  <c r="J30" i="1"/>
  <c r="V30" i="1"/>
  <c r="N30" i="1"/>
  <c r="L44" i="1"/>
  <c r="P45" i="1" s="1"/>
  <c r="N2" i="1"/>
  <c r="J2" i="1"/>
  <c r="DV14" i="1"/>
  <c r="DW13" i="1"/>
  <c r="DW2" i="1"/>
  <c r="DU1" i="1"/>
  <c r="DU3" i="1"/>
  <c r="DU5" i="1"/>
  <c r="DX14" i="1"/>
  <c r="DU18" i="1"/>
  <c r="DW4" i="1"/>
  <c r="DU7" i="1"/>
  <c r="DU2" i="1"/>
  <c r="DX2" i="1"/>
  <c r="DW18" i="1"/>
  <c r="DU11" i="1"/>
  <c r="DW5" i="1"/>
  <c r="DV8" i="1"/>
  <c r="DW1" i="1"/>
  <c r="DX13" i="1"/>
  <c r="DV7" i="1"/>
  <c r="DW12" i="1"/>
  <c r="DX5" i="1"/>
  <c r="DV9" i="1"/>
  <c r="DW9" i="1"/>
  <c r="DV6" i="1"/>
  <c r="DU9" i="1"/>
  <c r="DV17" i="1"/>
  <c r="DX17" i="1"/>
  <c r="DU4" i="1"/>
  <c r="DV16" i="1"/>
  <c r="DW14" i="1"/>
  <c r="DV12" i="1"/>
  <c r="DX6" i="1"/>
  <c r="DV18" i="1"/>
  <c r="DU6" i="1"/>
  <c r="DW8" i="1"/>
  <c r="DW15" i="1"/>
  <c r="DW17" i="1"/>
  <c r="DV15" i="1"/>
  <c r="DX16" i="1"/>
  <c r="DW11" i="1"/>
  <c r="DX15" i="1"/>
  <c r="DX12" i="1"/>
  <c r="DU14" i="1"/>
  <c r="DU15" i="1"/>
  <c r="DV1" i="1"/>
  <c r="DX11" i="1"/>
  <c r="DV10" i="1"/>
  <c r="DW16" i="1"/>
  <c r="DX18" i="1"/>
  <c r="DX3" i="1"/>
  <c r="DX9" i="1"/>
  <c r="DV13" i="1"/>
  <c r="DX7" i="1"/>
  <c r="DU10" i="1"/>
  <c r="DX4" i="1"/>
  <c r="DU16" i="1"/>
  <c r="DU13" i="1"/>
  <c r="DV2" i="1"/>
  <c r="DU17" i="1"/>
  <c r="DW6" i="1"/>
  <c r="DW3" i="1"/>
  <c r="DX1" i="1"/>
  <c r="DV3" i="1"/>
  <c r="DV5" i="1"/>
  <c r="DU12" i="1"/>
  <c r="DV11" i="1"/>
  <c r="DU8" i="1"/>
  <c r="DW7" i="1"/>
  <c r="DW10" i="1"/>
  <c r="DX10" i="1"/>
  <c r="DX8" i="1"/>
  <c r="AL39" i="3"/>
  <c r="AL38" i="3"/>
  <c r="AL42" i="3"/>
  <c r="AL36" i="3"/>
  <c r="AL37" i="3"/>
  <c r="AL44" i="3"/>
  <c r="AL41" i="3"/>
  <c r="AF39" i="3"/>
  <c r="AF37" i="3"/>
  <c r="AF41" i="3"/>
  <c r="AF40" i="3"/>
  <c r="AF38" i="3"/>
  <c r="AF36" i="3"/>
  <c r="AF44" i="3"/>
  <c r="AF42" i="3"/>
  <c r="AF43" i="3"/>
  <c r="AI43" i="3"/>
  <c r="AI39" i="3"/>
  <c r="AI40" i="3"/>
  <c r="AI42" i="3"/>
  <c r="AI44" i="3"/>
  <c r="AI41" i="3"/>
  <c r="AI36" i="3"/>
  <c r="AI38" i="3"/>
  <c r="AI37" i="3"/>
  <c r="AG44" i="3"/>
  <c r="AG42" i="3"/>
  <c r="AG36" i="3"/>
  <c r="AG39" i="3"/>
  <c r="AG40" i="3"/>
  <c r="AG38" i="3"/>
  <c r="AG37" i="3"/>
  <c r="AG43" i="3"/>
  <c r="AG41" i="3"/>
  <c r="AE39" i="3"/>
  <c r="AE36" i="3"/>
  <c r="AE42" i="3"/>
  <c r="AE40" i="3"/>
  <c r="AE37" i="3"/>
  <c r="AE43" i="3"/>
  <c r="AE41" i="3"/>
  <c r="AE44" i="3"/>
  <c r="AE38" i="3"/>
  <c r="W36" i="24"/>
  <c r="AK42" i="3"/>
  <c r="AK41" i="3"/>
  <c r="AK43" i="3"/>
  <c r="AK44" i="3"/>
  <c r="AK39" i="3"/>
  <c r="AK36" i="3"/>
  <c r="AK40" i="3"/>
  <c r="AK37" i="3"/>
  <c r="AK38" i="3"/>
  <c r="AH44" i="3"/>
  <c r="AH40" i="3"/>
  <c r="AH41" i="3"/>
  <c r="AH42" i="3"/>
  <c r="AH39" i="3"/>
  <c r="AH38" i="3"/>
  <c r="AH36" i="3"/>
  <c r="AH37" i="3"/>
  <c r="AH43" i="3"/>
  <c r="AM43" i="3"/>
  <c r="AM40" i="3"/>
  <c r="AM42" i="3"/>
  <c r="AM38" i="3"/>
  <c r="AM44" i="3"/>
  <c r="AM41" i="3"/>
  <c r="AM39" i="3"/>
  <c r="AM36" i="3"/>
  <c r="AM37" i="3"/>
  <c r="AJ44" i="3"/>
  <c r="AJ37" i="3"/>
  <c r="AJ36" i="3"/>
  <c r="AJ42" i="3"/>
  <c r="AJ40" i="3"/>
  <c r="AJ43" i="3"/>
  <c r="AJ38" i="3"/>
  <c r="AJ39" i="3"/>
  <c r="AJ41" i="3"/>
  <c r="DY14" i="1" l="1"/>
  <c r="DY16" i="1"/>
  <c r="DY6" i="1"/>
  <c r="DY7" i="1"/>
  <c r="DZ5" i="1"/>
  <c r="DY3" i="1"/>
  <c r="DZ13" i="1"/>
  <c r="DY17" i="1"/>
  <c r="GG33" i="33"/>
  <c r="GE110" i="33" s="1"/>
  <c r="GF33" i="33"/>
  <c r="GC110" i="33" s="1"/>
  <c r="EN19" i="33"/>
  <c r="EM19" i="33"/>
  <c r="EO19" i="33"/>
  <c r="IK23" i="33"/>
  <c r="IH100" i="33" s="1"/>
  <c r="IL23" i="33"/>
  <c r="IJ100" i="33" s="1"/>
  <c r="GA31" i="33"/>
  <c r="FY31" i="33"/>
  <c r="FZ31" i="33"/>
  <c r="FM21" i="33"/>
  <c r="FJ98" i="33" s="1"/>
  <c r="FN21" i="33"/>
  <c r="FL98" i="33" s="1"/>
  <c r="GF31" i="33"/>
  <c r="GC108" i="33" s="1"/>
  <c r="GG31" i="33"/>
  <c r="GE108" i="33" s="1"/>
  <c r="HL28" i="33"/>
  <c r="HK28" i="33"/>
  <c r="HM28" i="33"/>
  <c r="FM7" i="33"/>
  <c r="FJ84" i="33" s="1"/>
  <c r="FN7" i="33"/>
  <c r="FL84" i="33" s="1"/>
  <c r="GG35" i="33"/>
  <c r="GE112" i="33" s="1"/>
  <c r="GF35" i="33"/>
  <c r="GC112" i="33" s="1"/>
  <c r="IW37" i="33"/>
  <c r="IX37" i="33"/>
  <c r="IY37" i="33"/>
  <c r="K11" i="33"/>
  <c r="J11" i="33"/>
  <c r="L11" i="33"/>
  <c r="GS5" i="33"/>
  <c r="GT5" i="33"/>
  <c r="GR5" i="33"/>
  <c r="CO34" i="33"/>
  <c r="CL111" i="33" s="1"/>
  <c r="CP34" i="33"/>
  <c r="CN111" i="33" s="1"/>
  <c r="BQ8" i="33"/>
  <c r="BP8" i="33"/>
  <c r="BO8" i="33"/>
  <c r="HL22" i="33"/>
  <c r="HM22" i="33"/>
  <c r="HK22" i="33"/>
  <c r="IL7" i="33"/>
  <c r="IJ84" i="33" s="1"/>
  <c r="IK7" i="33"/>
  <c r="IH84" i="33" s="1"/>
  <c r="ID29" i="33"/>
  <c r="IE29" i="33"/>
  <c r="IF29" i="33"/>
  <c r="MB22" i="33"/>
  <c r="LY99" i="33" s="1"/>
  <c r="MC22" i="33"/>
  <c r="MA99" i="33" s="1"/>
  <c r="DB10" i="33"/>
  <c r="DA10" i="33"/>
  <c r="DC10" i="33"/>
  <c r="IY19" i="33"/>
  <c r="IW19" i="33"/>
  <c r="IX19" i="33"/>
  <c r="GZ32" i="33"/>
  <c r="GX109" i="33" s="1"/>
  <c r="GY32" i="33"/>
  <c r="GV109" i="33" s="1"/>
  <c r="GY30" i="33"/>
  <c r="GV107" i="33" s="1"/>
  <c r="GZ30" i="33"/>
  <c r="GX107" i="33" s="1"/>
  <c r="JQ9" i="33"/>
  <c r="JP9" i="33"/>
  <c r="JR9" i="33"/>
  <c r="GS36" i="33"/>
  <c r="GT36" i="33"/>
  <c r="GR36" i="33"/>
  <c r="CP32" i="33"/>
  <c r="CN109" i="33" s="1"/>
  <c r="CO32" i="33"/>
  <c r="CL109" i="33" s="1"/>
  <c r="ET17" i="33"/>
  <c r="EQ94" i="33" s="1"/>
  <c r="EU17" i="33"/>
  <c r="ES94" i="33" s="1"/>
  <c r="GF17" i="33"/>
  <c r="GC94" i="33" s="1"/>
  <c r="GG17" i="33"/>
  <c r="GE94" i="33" s="1"/>
  <c r="EA21" i="33"/>
  <c r="DX98" i="33" s="1"/>
  <c r="EB21" i="33"/>
  <c r="DZ98" i="33" s="1"/>
  <c r="KQ24" i="33"/>
  <c r="KO101" i="33" s="1"/>
  <c r="KP24" i="33"/>
  <c r="KM101" i="33" s="1"/>
  <c r="LD21" i="33"/>
  <c r="LC21" i="33"/>
  <c r="LB21" i="33"/>
  <c r="HR19" i="33"/>
  <c r="HO96" i="33" s="1"/>
  <c r="HS19" i="33"/>
  <c r="HQ96" i="33" s="1"/>
  <c r="JR23" i="33"/>
  <c r="JQ23" i="33"/>
  <c r="JP23" i="33"/>
  <c r="GY28" i="33"/>
  <c r="GV105" i="33" s="1"/>
  <c r="GZ28" i="33"/>
  <c r="GX105" i="33" s="1"/>
  <c r="IX22" i="33"/>
  <c r="IY22" i="33"/>
  <c r="IW22" i="33"/>
  <c r="EO15" i="33"/>
  <c r="EM15" i="33"/>
  <c r="EN15" i="33"/>
  <c r="HR32" i="33"/>
  <c r="HO109" i="33" s="1"/>
  <c r="HS32" i="33"/>
  <c r="HQ109" i="33" s="1"/>
  <c r="Q36" i="33"/>
  <c r="N113" i="33" s="1"/>
  <c r="R36" i="33"/>
  <c r="P113" i="33" s="1"/>
  <c r="FY22" i="33"/>
  <c r="FZ22" i="33"/>
  <c r="GA22" i="33"/>
  <c r="LB20" i="33"/>
  <c r="LD20" i="33"/>
  <c r="LC20" i="33"/>
  <c r="EA36" i="33"/>
  <c r="DX113" i="33" s="1"/>
  <c r="EB36" i="33"/>
  <c r="DZ113" i="33" s="1"/>
  <c r="J23" i="33"/>
  <c r="K23" i="33"/>
  <c r="L23" i="33"/>
  <c r="BQ6" i="33"/>
  <c r="BO6" i="33"/>
  <c r="BP6" i="33"/>
  <c r="DU21" i="33"/>
  <c r="DV21" i="33"/>
  <c r="DT21" i="33"/>
  <c r="FH27" i="33"/>
  <c r="FF27" i="33"/>
  <c r="FG27" i="33"/>
  <c r="R13" i="33"/>
  <c r="P90" i="33" s="1"/>
  <c r="Q13" i="33"/>
  <c r="N90" i="33" s="1"/>
  <c r="JQ16" i="33"/>
  <c r="JR16" i="33"/>
  <c r="JP16" i="33"/>
  <c r="EO22" i="33"/>
  <c r="EN22" i="33"/>
  <c r="EM22" i="33"/>
  <c r="BO37" i="33"/>
  <c r="BQ37" i="33"/>
  <c r="BP37" i="33"/>
  <c r="BW19" i="33"/>
  <c r="BU96" i="33" s="1"/>
  <c r="BV19" i="33"/>
  <c r="BS96" i="33" s="1"/>
  <c r="HM4" i="33"/>
  <c r="HK4" i="33"/>
  <c r="HL4" i="33"/>
  <c r="HR8" i="33"/>
  <c r="HO85" i="33" s="1"/>
  <c r="HS8" i="33"/>
  <c r="HQ85" i="33" s="1"/>
  <c r="DU20" i="33"/>
  <c r="DV20" i="33"/>
  <c r="DT20" i="33"/>
  <c r="BQ4" i="33"/>
  <c r="BO4" i="33"/>
  <c r="BP4" i="33"/>
  <c r="IE23" i="33"/>
  <c r="IF23" i="33"/>
  <c r="ID23" i="33"/>
  <c r="KK10" i="33"/>
  <c r="KJ10" i="33"/>
  <c r="KI10" i="33"/>
  <c r="KK4" i="33"/>
  <c r="KI4" i="33"/>
  <c r="KJ4" i="33"/>
  <c r="CO36" i="33"/>
  <c r="CL113" i="33" s="1"/>
  <c r="CP36" i="33"/>
  <c r="CN113" i="33" s="1"/>
  <c r="R18" i="33"/>
  <c r="P95" i="33" s="1"/>
  <c r="Q18" i="33"/>
  <c r="N95" i="33" s="1"/>
  <c r="EB9" i="33"/>
  <c r="DZ86" i="33" s="1"/>
  <c r="EA9" i="33"/>
  <c r="DX86" i="33" s="1"/>
  <c r="R34" i="33"/>
  <c r="P111" i="33" s="1"/>
  <c r="Q34" i="33"/>
  <c r="N111" i="33" s="1"/>
  <c r="EU37" i="33"/>
  <c r="ES114" i="33" s="1"/>
  <c r="ET37" i="33"/>
  <c r="EQ114" i="33" s="1"/>
  <c r="GS21" i="33"/>
  <c r="GR21" i="33"/>
  <c r="GT21" i="33"/>
  <c r="HS22" i="33"/>
  <c r="HQ99" i="33" s="1"/>
  <c r="HR22" i="33"/>
  <c r="HO99" i="33" s="1"/>
  <c r="IL9" i="33"/>
  <c r="IJ86" i="33" s="1"/>
  <c r="IK9" i="33"/>
  <c r="IH86" i="33" s="1"/>
  <c r="K18" i="33"/>
  <c r="L18" i="33"/>
  <c r="J18" i="33"/>
  <c r="ET4" i="33"/>
  <c r="EQ81" i="33" s="1"/>
  <c r="EU4" i="33"/>
  <c r="ES81" i="33" s="1"/>
  <c r="DH8" i="33"/>
  <c r="DE85" i="33" s="1"/>
  <c r="DI8" i="33"/>
  <c r="DG85" i="33" s="1"/>
  <c r="BP24" i="33"/>
  <c r="BO24" i="33"/>
  <c r="BQ24" i="33"/>
  <c r="DB4" i="33"/>
  <c r="DA4" i="33"/>
  <c r="DC4" i="33"/>
  <c r="JW18" i="33"/>
  <c r="JT95" i="33" s="1"/>
  <c r="JX18" i="33"/>
  <c r="JV95" i="33" s="1"/>
  <c r="FF25" i="33"/>
  <c r="FG25" i="33"/>
  <c r="FH25" i="33"/>
  <c r="IK21" i="33"/>
  <c r="IH98" i="33" s="1"/>
  <c r="IL21" i="33"/>
  <c r="IJ98" i="33" s="1"/>
  <c r="GZ18" i="33"/>
  <c r="GX95" i="33" s="1"/>
  <c r="GY18" i="33"/>
  <c r="GV95" i="33" s="1"/>
  <c r="K27" i="33"/>
  <c r="J27" i="33"/>
  <c r="L27" i="33"/>
  <c r="LI36" i="33"/>
  <c r="LF113" i="33" s="1"/>
  <c r="LJ36" i="33"/>
  <c r="LH113" i="33" s="1"/>
  <c r="IX4" i="33"/>
  <c r="IY4" i="33"/>
  <c r="IW4" i="33"/>
  <c r="EM31" i="33"/>
  <c r="EN31" i="33"/>
  <c r="EO31" i="33"/>
  <c r="CI20" i="33"/>
  <c r="CJ20" i="33"/>
  <c r="CH20" i="33"/>
  <c r="FH5" i="33"/>
  <c r="FF5" i="33"/>
  <c r="FG5" i="33"/>
  <c r="JD35" i="33"/>
  <c r="JA112" i="33" s="1"/>
  <c r="JE35" i="33"/>
  <c r="JC112" i="33" s="1"/>
  <c r="JP20" i="33"/>
  <c r="JR20" i="33"/>
  <c r="JQ20" i="33"/>
  <c r="JP18" i="33"/>
  <c r="JR18" i="33"/>
  <c r="JQ18" i="33"/>
  <c r="HK30" i="33"/>
  <c r="HM30" i="33"/>
  <c r="HL30" i="33"/>
  <c r="ET35" i="33"/>
  <c r="EQ112" i="33" s="1"/>
  <c r="EU35" i="33"/>
  <c r="ES112" i="33" s="1"/>
  <c r="GR16" i="33"/>
  <c r="GS16" i="33"/>
  <c r="GT16" i="33"/>
  <c r="KJ24" i="33"/>
  <c r="KI24" i="33"/>
  <c r="KK24" i="33"/>
  <c r="HK26" i="33"/>
  <c r="HL26" i="33"/>
  <c r="HM26" i="33"/>
  <c r="BW8" i="33"/>
  <c r="BU85" i="33" s="1"/>
  <c r="BV8" i="33"/>
  <c r="BS85" i="33" s="1"/>
  <c r="KP12" i="33"/>
  <c r="KM89" i="33" s="1"/>
  <c r="KQ12" i="33"/>
  <c r="KO89" i="33" s="1"/>
  <c r="GZ12" i="33"/>
  <c r="GX89" i="33" s="1"/>
  <c r="GY12" i="33"/>
  <c r="GV89" i="33" s="1"/>
  <c r="FG11" i="33"/>
  <c r="FF11" i="33"/>
  <c r="FH11" i="33"/>
  <c r="KQ26" i="33"/>
  <c r="KO103" i="33" s="1"/>
  <c r="KP26" i="33"/>
  <c r="KM103" i="33" s="1"/>
  <c r="GY16" i="33"/>
  <c r="GV93" i="33" s="1"/>
  <c r="GZ16" i="33"/>
  <c r="GX93" i="33" s="1"/>
  <c r="JX25" i="33"/>
  <c r="JV102" i="33" s="1"/>
  <c r="JW25" i="33"/>
  <c r="JT102" i="33" s="1"/>
  <c r="EM17" i="33"/>
  <c r="EO17" i="33"/>
  <c r="EN17" i="33"/>
  <c r="JX9" i="33"/>
  <c r="JV86" i="33" s="1"/>
  <c r="JW9" i="33"/>
  <c r="JT86" i="33" s="1"/>
  <c r="EB7" i="33"/>
  <c r="DZ84" i="33" s="1"/>
  <c r="EA7" i="33"/>
  <c r="DX84" i="33" s="1"/>
  <c r="GG22" i="33"/>
  <c r="GE99" i="33" s="1"/>
  <c r="GF22" i="33"/>
  <c r="GC99" i="33" s="1"/>
  <c r="HS4" i="33"/>
  <c r="HQ81" i="33" s="1"/>
  <c r="HR4" i="33"/>
  <c r="HO81" i="33" s="1"/>
  <c r="DB24" i="33"/>
  <c r="DC24" i="33"/>
  <c r="DA24" i="33"/>
  <c r="GS26" i="33"/>
  <c r="GR26" i="33"/>
  <c r="GT26" i="33"/>
  <c r="HK6" i="33"/>
  <c r="HM6" i="33"/>
  <c r="HL6" i="33"/>
  <c r="EO37" i="33"/>
  <c r="EN37" i="33"/>
  <c r="EM37" i="33"/>
  <c r="LJ20" i="33"/>
  <c r="LH97" i="33" s="1"/>
  <c r="LI20" i="33"/>
  <c r="LF97" i="33" s="1"/>
  <c r="DB22" i="33"/>
  <c r="DC22" i="33"/>
  <c r="DA22" i="33"/>
  <c r="FN25" i="33"/>
  <c r="FL102" i="33" s="1"/>
  <c r="FM25" i="33"/>
  <c r="FJ102" i="33" s="1"/>
  <c r="BW24" i="33"/>
  <c r="BU101" i="33" s="1"/>
  <c r="BV24" i="33"/>
  <c r="BS101" i="33" s="1"/>
  <c r="BW4" i="33"/>
  <c r="BU81" i="33" s="1"/>
  <c r="BV4" i="33"/>
  <c r="BS81" i="33" s="1"/>
  <c r="R20" i="33"/>
  <c r="P97" i="33" s="1"/>
  <c r="Q20" i="33"/>
  <c r="N97" i="33" s="1"/>
  <c r="LI5" i="33"/>
  <c r="LF82" i="33" s="1"/>
  <c r="LJ5" i="33"/>
  <c r="LH82" i="33" s="1"/>
  <c r="KK28" i="33"/>
  <c r="KJ28" i="33"/>
  <c r="KI28" i="33"/>
  <c r="JW7" i="33"/>
  <c r="JT84" i="33" s="1"/>
  <c r="JX7" i="33"/>
  <c r="JV84" i="33" s="1"/>
  <c r="BQ19" i="33"/>
  <c r="BO19" i="33"/>
  <c r="BP19" i="33"/>
  <c r="HM12" i="33"/>
  <c r="HL12" i="33"/>
  <c r="HK12" i="33"/>
  <c r="DV7" i="33"/>
  <c r="DT7" i="33"/>
  <c r="DU7" i="33"/>
  <c r="FG29" i="33"/>
  <c r="FH29" i="33"/>
  <c r="FF29" i="33"/>
  <c r="ID11" i="33"/>
  <c r="IF11" i="33"/>
  <c r="IE11" i="33"/>
  <c r="GG19" i="33"/>
  <c r="GE96" i="33" s="1"/>
  <c r="GF19" i="33"/>
  <c r="GC96" i="33" s="1"/>
  <c r="DI24" i="33"/>
  <c r="DG101" i="33" s="1"/>
  <c r="DH24" i="33"/>
  <c r="DE101" i="33" s="1"/>
  <c r="JP7" i="33"/>
  <c r="JQ7" i="33"/>
  <c r="JR7" i="33"/>
  <c r="HM32" i="33"/>
  <c r="HL32" i="33"/>
  <c r="HK32" i="33"/>
  <c r="EU33" i="33"/>
  <c r="ES110" i="33" s="1"/>
  <c r="ET33" i="33"/>
  <c r="EQ110" i="33" s="1"/>
  <c r="Q7" i="33"/>
  <c r="N84" i="33" s="1"/>
  <c r="R7" i="33"/>
  <c r="P84" i="33" s="1"/>
  <c r="HS35" i="33"/>
  <c r="HQ112" i="33" s="1"/>
  <c r="HR35" i="33"/>
  <c r="HO112" i="33" s="1"/>
  <c r="K29" i="33"/>
  <c r="J29" i="33"/>
  <c r="L29" i="33"/>
  <c r="CJ36" i="33"/>
  <c r="CH36" i="33"/>
  <c r="CI36" i="33"/>
  <c r="HS10" i="33"/>
  <c r="HQ87" i="33" s="1"/>
  <c r="HR10" i="33"/>
  <c r="HO87" i="33" s="1"/>
  <c r="EN4" i="33"/>
  <c r="EM4" i="33"/>
  <c r="EO4" i="33"/>
  <c r="GG6" i="33"/>
  <c r="GE83" i="33" s="1"/>
  <c r="GF6" i="33"/>
  <c r="GC83" i="33" s="1"/>
  <c r="GZ5" i="33"/>
  <c r="GX82" i="33" s="1"/>
  <c r="GY5" i="33"/>
  <c r="GV82" i="33" s="1"/>
  <c r="DT11" i="33"/>
  <c r="DV11" i="33"/>
  <c r="DU11" i="33"/>
  <c r="KP6" i="33"/>
  <c r="KM83" i="33" s="1"/>
  <c r="KQ6" i="33"/>
  <c r="KO83" i="33" s="1"/>
  <c r="EU31" i="33"/>
  <c r="ES108" i="33" s="1"/>
  <c r="ET31" i="33"/>
  <c r="EQ108" i="33" s="1"/>
  <c r="GA35" i="33"/>
  <c r="FZ35" i="33"/>
  <c r="FY35" i="33"/>
  <c r="JX21" i="33"/>
  <c r="JV98" i="33" s="1"/>
  <c r="JW21" i="33"/>
  <c r="JT98" i="33" s="1"/>
  <c r="ET13" i="33"/>
  <c r="EQ90" i="33" s="1"/>
  <c r="EU13" i="33"/>
  <c r="ES90" i="33" s="1"/>
  <c r="FN27" i="33"/>
  <c r="FL104" i="33" s="1"/>
  <c r="FM27" i="33"/>
  <c r="FJ104" i="33" s="1"/>
  <c r="DI22" i="33"/>
  <c r="DG99" i="33" s="1"/>
  <c r="DH22" i="33"/>
  <c r="DE99" i="33" s="1"/>
  <c r="L34" i="33"/>
  <c r="J34" i="33"/>
  <c r="K34" i="33"/>
  <c r="J5" i="33"/>
  <c r="L5" i="33"/>
  <c r="K5" i="33"/>
  <c r="R27" i="33"/>
  <c r="P104" i="33" s="1"/>
  <c r="Q27" i="33"/>
  <c r="N104" i="33" s="1"/>
  <c r="GG4" i="33"/>
  <c r="GE81" i="33" s="1"/>
  <c r="GF4" i="33"/>
  <c r="GC81" i="33" s="1"/>
  <c r="HR30" i="33"/>
  <c r="HO107" i="33" s="1"/>
  <c r="HS30" i="33"/>
  <c r="HQ107" i="33" s="1"/>
  <c r="JW20" i="33"/>
  <c r="JT97" i="33" s="1"/>
  <c r="JX20" i="33"/>
  <c r="JV97" i="33" s="1"/>
  <c r="L9" i="33"/>
  <c r="J9" i="33"/>
  <c r="K9" i="33"/>
  <c r="JE6" i="33"/>
  <c r="JC83" i="33" s="1"/>
  <c r="JD6" i="33"/>
  <c r="JA83" i="33" s="1"/>
  <c r="EA5" i="33"/>
  <c r="DX82" i="33" s="1"/>
  <c r="EB5" i="33"/>
  <c r="DZ82" i="33" s="1"/>
  <c r="JX34" i="33"/>
  <c r="JV111" i="33" s="1"/>
  <c r="JW34" i="33"/>
  <c r="JT111" i="33" s="1"/>
  <c r="K36" i="33"/>
  <c r="J36" i="33"/>
  <c r="L36" i="33"/>
  <c r="DH10" i="33"/>
  <c r="DE87" i="33" s="1"/>
  <c r="DI10" i="33"/>
  <c r="DG87" i="33" s="1"/>
  <c r="ET19" i="33"/>
  <c r="EQ96" i="33" s="1"/>
  <c r="EU19" i="33"/>
  <c r="ES96" i="33" s="1"/>
  <c r="GG37" i="33"/>
  <c r="GE114" i="33" s="1"/>
  <c r="GF37" i="33"/>
  <c r="GC114" i="33" s="1"/>
  <c r="JW27" i="33"/>
  <c r="JT104" i="33" s="1"/>
  <c r="JX27" i="33"/>
  <c r="JV104" i="33" s="1"/>
  <c r="JX23" i="33"/>
  <c r="JV100" i="33" s="1"/>
  <c r="JW23" i="33"/>
  <c r="JT100" i="33" s="1"/>
  <c r="HR17" i="33"/>
  <c r="HO94" i="33" s="1"/>
  <c r="HS17" i="33"/>
  <c r="HQ94" i="33" s="1"/>
  <c r="DA8" i="33"/>
  <c r="DB8" i="33"/>
  <c r="DC8" i="33"/>
  <c r="Q11" i="33"/>
  <c r="N88" i="33" s="1"/>
  <c r="R11" i="33"/>
  <c r="P88" i="33" s="1"/>
  <c r="HR24" i="33"/>
  <c r="HO101" i="33" s="1"/>
  <c r="HS24" i="33"/>
  <c r="HQ101" i="33" s="1"/>
  <c r="DH4" i="33"/>
  <c r="DE81" i="33" s="1"/>
  <c r="DI4" i="33"/>
  <c r="DG81" i="33" s="1"/>
  <c r="HR37" i="33"/>
  <c r="HO114" i="33" s="1"/>
  <c r="HS37" i="33"/>
  <c r="HQ114" i="33" s="1"/>
  <c r="CI34" i="33"/>
  <c r="CH34" i="33"/>
  <c r="CJ34" i="33"/>
  <c r="FY15" i="33"/>
  <c r="GA15" i="33"/>
  <c r="FZ15" i="33"/>
  <c r="LW4" i="33"/>
  <c r="LU4" i="33"/>
  <c r="LV4" i="33"/>
  <c r="JD22" i="33"/>
  <c r="JA99" i="33" s="1"/>
  <c r="JE22" i="33"/>
  <c r="JC99" i="33" s="1"/>
  <c r="HK14" i="33"/>
  <c r="HL14" i="33"/>
  <c r="HM14" i="33"/>
  <c r="IW17" i="33"/>
  <c r="IX17" i="33"/>
  <c r="IY17" i="33"/>
  <c r="HL8" i="33"/>
  <c r="HK8" i="33"/>
  <c r="HM8" i="33"/>
  <c r="JQ36" i="33"/>
  <c r="JP36" i="33"/>
  <c r="JR36" i="33"/>
  <c r="CI18" i="33"/>
  <c r="CH18" i="33"/>
  <c r="CJ18" i="33"/>
  <c r="GY34" i="33"/>
  <c r="GV111" i="33" s="1"/>
  <c r="GZ34" i="33"/>
  <c r="GX111" i="33" s="1"/>
  <c r="KJ19" i="33"/>
  <c r="KK19" i="33"/>
  <c r="KI19" i="33"/>
  <c r="DT36" i="33"/>
  <c r="DU36" i="33"/>
  <c r="DV36" i="33"/>
  <c r="K7" i="33"/>
  <c r="L7" i="33"/>
  <c r="J7" i="33"/>
  <c r="GT14" i="33"/>
  <c r="GS14" i="33"/>
  <c r="GR14" i="33"/>
  <c r="EM29" i="33"/>
  <c r="EO29" i="33"/>
  <c r="EN29" i="33"/>
  <c r="J21" i="33"/>
  <c r="K21" i="33"/>
  <c r="L21" i="33"/>
  <c r="DV25" i="33"/>
  <c r="DU25" i="33"/>
  <c r="DT25" i="33"/>
  <c r="KP22" i="33"/>
  <c r="KM99" i="33" s="1"/>
  <c r="KQ22" i="33"/>
  <c r="KO99" i="33" s="1"/>
  <c r="CP21" i="33"/>
  <c r="CN98" i="33" s="1"/>
  <c r="CO21" i="33"/>
  <c r="CL98" i="33" s="1"/>
  <c r="EB11" i="33"/>
  <c r="DZ88" i="33" s="1"/>
  <c r="EA11" i="33"/>
  <c r="DX88" i="33" s="1"/>
  <c r="KI12" i="33"/>
  <c r="KK12" i="33"/>
  <c r="KJ12" i="33"/>
  <c r="GT30" i="33"/>
  <c r="GS30" i="33"/>
  <c r="GR30" i="33"/>
  <c r="EM13" i="33"/>
  <c r="EO13" i="33"/>
  <c r="EN13" i="33"/>
  <c r="GA17" i="33"/>
  <c r="FZ17" i="33"/>
  <c r="FY17" i="33"/>
  <c r="GY36" i="33"/>
  <c r="GV113" i="33" s="1"/>
  <c r="GZ36" i="33"/>
  <c r="GX113" i="33" s="1"/>
  <c r="CI21" i="33"/>
  <c r="CH21" i="33"/>
  <c r="CJ21" i="33"/>
  <c r="Q5" i="33"/>
  <c r="N82" i="33" s="1"/>
  <c r="R5" i="33"/>
  <c r="P82" i="33" s="1"/>
  <c r="FM9" i="33"/>
  <c r="FJ86" i="33" s="1"/>
  <c r="FN9" i="33"/>
  <c r="FL86" i="33" s="1"/>
  <c r="CO20" i="33"/>
  <c r="CL97" i="33" s="1"/>
  <c r="CP20" i="33"/>
  <c r="CN97" i="33" s="1"/>
  <c r="IL27" i="33"/>
  <c r="IJ104" i="33" s="1"/>
  <c r="IK27" i="33"/>
  <c r="IH104" i="33" s="1"/>
  <c r="KP19" i="33"/>
  <c r="KM96" i="33" s="1"/>
  <c r="KQ19" i="33"/>
  <c r="KO96" i="33" s="1"/>
  <c r="KJ6" i="33"/>
  <c r="KI6" i="33"/>
  <c r="KK6" i="33"/>
  <c r="LC36" i="33"/>
  <c r="LD36" i="33"/>
  <c r="LB36" i="33"/>
  <c r="KP28" i="33"/>
  <c r="KM105" i="33" s="1"/>
  <c r="KQ28" i="33"/>
  <c r="KO105" i="33" s="1"/>
  <c r="K20" i="33"/>
  <c r="J20" i="33"/>
  <c r="L20" i="33"/>
  <c r="IF21" i="33"/>
  <c r="IE21" i="33"/>
  <c r="ID21" i="33"/>
  <c r="DU27" i="33"/>
  <c r="DT27" i="33"/>
  <c r="DV27" i="33"/>
  <c r="DC26" i="33"/>
  <c r="DB26" i="33"/>
  <c r="DA26" i="33"/>
  <c r="LD5" i="33"/>
  <c r="LC5" i="33"/>
  <c r="LB5" i="33"/>
  <c r="FY6" i="33"/>
  <c r="FZ6" i="33"/>
  <c r="GA6" i="33"/>
  <c r="KI37" i="33"/>
  <c r="KJ37" i="33"/>
  <c r="KK37" i="33"/>
  <c r="KJ8" i="33"/>
  <c r="KI8" i="33"/>
  <c r="KK8" i="33"/>
  <c r="EB20" i="33"/>
  <c r="DZ97" i="33" s="1"/>
  <c r="EA20" i="33"/>
  <c r="DX97" i="33" s="1"/>
  <c r="LW22" i="33"/>
  <c r="LU22" i="33"/>
  <c r="LV22" i="33"/>
  <c r="IF25" i="33"/>
  <c r="IE25" i="33"/>
  <c r="ID25" i="33"/>
  <c r="GZ14" i="33"/>
  <c r="GX91" i="33" s="1"/>
  <c r="GY14" i="33"/>
  <c r="GV91" i="33" s="1"/>
  <c r="KQ37" i="33"/>
  <c r="KO114" i="33" s="1"/>
  <c r="KP37" i="33"/>
  <c r="KM114" i="33" s="1"/>
  <c r="ID9" i="33"/>
  <c r="IE9" i="33"/>
  <c r="IF9" i="33"/>
  <c r="GR23" i="33"/>
  <c r="GT23" i="33"/>
  <c r="GS23" i="33"/>
  <c r="FG7" i="33"/>
  <c r="FH7" i="33"/>
  <c r="FF7" i="33"/>
  <c r="IE7" i="33"/>
  <c r="IF7" i="33"/>
  <c r="ID7" i="33"/>
  <c r="GS28" i="33"/>
  <c r="GT28" i="33"/>
  <c r="GR28" i="33"/>
  <c r="GR10" i="33"/>
  <c r="GS10" i="33"/>
  <c r="GT10" i="33"/>
  <c r="IX35" i="33"/>
  <c r="IW35" i="33"/>
  <c r="IY35" i="33"/>
  <c r="Q21" i="33"/>
  <c r="N98" i="33" s="1"/>
  <c r="R21" i="33"/>
  <c r="P98" i="33" s="1"/>
  <c r="JP27" i="33"/>
  <c r="JR27" i="33"/>
  <c r="JQ27" i="33"/>
  <c r="EB25" i="33"/>
  <c r="DZ102" i="33" s="1"/>
  <c r="EA25" i="33"/>
  <c r="DX102" i="33" s="1"/>
  <c r="HK35" i="33"/>
  <c r="HM35" i="33"/>
  <c r="HL35" i="33"/>
  <c r="IK29" i="33"/>
  <c r="IH106" i="33" s="1"/>
  <c r="IL29" i="33"/>
  <c r="IJ106" i="33" s="1"/>
  <c r="JX36" i="33"/>
  <c r="JV113" i="33" s="1"/>
  <c r="JW36" i="33"/>
  <c r="JT113" i="33" s="1"/>
  <c r="Q9" i="33"/>
  <c r="N86" i="33" s="1"/>
  <c r="R9" i="33"/>
  <c r="P86" i="33" s="1"/>
  <c r="HR14" i="33"/>
  <c r="HO91" i="33" s="1"/>
  <c r="HS14" i="33"/>
  <c r="HQ91" i="33" s="1"/>
  <c r="GF15" i="33"/>
  <c r="GC92" i="33" s="1"/>
  <c r="GG15" i="33"/>
  <c r="GE92" i="33" s="1"/>
  <c r="FY4" i="33"/>
  <c r="GA4" i="33"/>
  <c r="FZ4" i="33"/>
  <c r="JR25" i="33"/>
  <c r="JP25" i="33"/>
  <c r="JQ25" i="33"/>
  <c r="FM23" i="33"/>
  <c r="FJ100" i="33" s="1"/>
  <c r="FN23" i="33"/>
  <c r="FL100" i="33" s="1"/>
  <c r="KJ22" i="33"/>
  <c r="KK22" i="33"/>
  <c r="KI22" i="33"/>
  <c r="CP5" i="33"/>
  <c r="CN82" i="33" s="1"/>
  <c r="CO5" i="33"/>
  <c r="CL82" i="33" s="1"/>
  <c r="JE4" i="33"/>
  <c r="JC81" i="33" s="1"/>
  <c r="JD4" i="33"/>
  <c r="JA81" i="33" s="1"/>
  <c r="EU22" i="33"/>
  <c r="ES99" i="33" s="1"/>
  <c r="ET22" i="33"/>
  <c r="EQ99" i="33" s="1"/>
  <c r="HM24" i="33"/>
  <c r="HL24" i="33"/>
  <c r="HK24" i="33"/>
  <c r="CO18" i="33"/>
  <c r="CL95" i="33" s="1"/>
  <c r="CP18" i="33"/>
  <c r="CN95" i="33" s="1"/>
  <c r="FH13" i="33"/>
  <c r="FF13" i="33"/>
  <c r="FG13" i="33"/>
  <c r="HL37" i="33"/>
  <c r="HM37" i="33"/>
  <c r="HK37" i="33"/>
  <c r="EA23" i="33"/>
  <c r="DX100" i="33" s="1"/>
  <c r="EB23" i="33"/>
  <c r="DZ100" i="33" s="1"/>
  <c r="HM17" i="33"/>
  <c r="HK17" i="33"/>
  <c r="HL17" i="33"/>
  <c r="MC4" i="33"/>
  <c r="MA81" i="33" s="1"/>
  <c r="MB4" i="33"/>
  <c r="LY81" i="33" s="1"/>
  <c r="DT9" i="33"/>
  <c r="DV9" i="33"/>
  <c r="DU9" i="33"/>
  <c r="J31" i="33"/>
  <c r="L31" i="33"/>
  <c r="K31" i="33"/>
  <c r="BV22" i="33"/>
  <c r="BS99" i="33" s="1"/>
  <c r="BW22" i="33"/>
  <c r="BU99" i="33" s="1"/>
  <c r="K25" i="33"/>
  <c r="J25" i="33"/>
  <c r="L25" i="33"/>
  <c r="DV23" i="33"/>
  <c r="DU23" i="33"/>
  <c r="DT23" i="33"/>
  <c r="CJ5" i="33"/>
  <c r="CH5" i="33"/>
  <c r="CI5" i="33"/>
  <c r="IF5" i="33"/>
  <c r="IE5" i="33"/>
  <c r="ID5" i="33"/>
  <c r="HK19" i="33"/>
  <c r="HL19" i="33"/>
  <c r="HM19" i="33"/>
  <c r="EO33" i="33"/>
  <c r="EM33" i="33"/>
  <c r="EN33" i="33"/>
  <c r="HR26" i="33"/>
  <c r="HO103" i="33" s="1"/>
  <c r="HS26" i="33"/>
  <c r="HQ103" i="33" s="1"/>
  <c r="EU29" i="33"/>
  <c r="ES106" i="33" s="1"/>
  <c r="ET29" i="33"/>
  <c r="EQ106" i="33" s="1"/>
  <c r="BV6" i="33"/>
  <c r="BS83" i="33" s="1"/>
  <c r="BW6" i="33"/>
  <c r="BU83" i="33" s="1"/>
  <c r="IX15" i="33"/>
  <c r="IW15" i="33"/>
  <c r="IY15" i="33"/>
  <c r="ET15" i="33"/>
  <c r="EQ92" i="33" s="1"/>
  <c r="EU15" i="33"/>
  <c r="ES92" i="33" s="1"/>
  <c r="JE15" i="33"/>
  <c r="JC92" i="33" s="1"/>
  <c r="JD15" i="33"/>
  <c r="JA92" i="33" s="1"/>
  <c r="EO35" i="33"/>
  <c r="EM35" i="33"/>
  <c r="EN35" i="33"/>
  <c r="JE37" i="33"/>
  <c r="JC114" i="33" s="1"/>
  <c r="JD37" i="33"/>
  <c r="JA114" i="33" s="1"/>
  <c r="R29" i="33"/>
  <c r="P106" i="33" s="1"/>
  <c r="Q29" i="33"/>
  <c r="N106" i="33" s="1"/>
  <c r="FM29" i="33"/>
  <c r="FJ106" i="33" s="1"/>
  <c r="FN29" i="33"/>
  <c r="FL106" i="33" s="1"/>
  <c r="GY23" i="33"/>
  <c r="GV100" i="33" s="1"/>
  <c r="GZ23" i="33"/>
  <c r="GX100" i="33" s="1"/>
  <c r="FM13" i="33"/>
  <c r="FJ90" i="33" s="1"/>
  <c r="FN13" i="33"/>
  <c r="FL90" i="33" s="1"/>
  <c r="CP16" i="33"/>
  <c r="CN93" i="33" s="1"/>
  <c r="CO16" i="33"/>
  <c r="CL93" i="33" s="1"/>
  <c r="GZ21" i="33"/>
  <c r="GX98" i="33" s="1"/>
  <c r="GY21" i="33"/>
  <c r="GV98" i="33" s="1"/>
  <c r="JQ34" i="33"/>
  <c r="JR34" i="33"/>
  <c r="JP34" i="33"/>
  <c r="Q23" i="33"/>
  <c r="N100" i="33" s="1"/>
  <c r="R23" i="33"/>
  <c r="P100" i="33" s="1"/>
  <c r="KQ4" i="33"/>
  <c r="KO81" i="33" s="1"/>
  <c r="KP4" i="33"/>
  <c r="KM81" i="33" s="1"/>
  <c r="FF21" i="33"/>
  <c r="FH21" i="33"/>
  <c r="FG21" i="33"/>
  <c r="IW6" i="33"/>
  <c r="IY6" i="33"/>
  <c r="IX6" i="33"/>
  <c r="FN11" i="33"/>
  <c r="FL88" i="33" s="1"/>
  <c r="FM11" i="33"/>
  <c r="FJ88" i="33" s="1"/>
  <c r="BV37" i="33"/>
  <c r="BS114" i="33" s="1"/>
  <c r="BW37" i="33"/>
  <c r="BU114" i="33" s="1"/>
  <c r="L13" i="33"/>
  <c r="K13" i="33"/>
  <c r="J13" i="33"/>
  <c r="Q31" i="33"/>
  <c r="N108" i="33" s="1"/>
  <c r="R31" i="33"/>
  <c r="P108" i="33" s="1"/>
  <c r="GA19" i="33"/>
  <c r="FZ19" i="33"/>
  <c r="FY19" i="33"/>
  <c r="DU5" i="33"/>
  <c r="DT5" i="33"/>
  <c r="DV5" i="33"/>
  <c r="JQ5" i="33"/>
  <c r="JP5" i="33"/>
  <c r="JR5" i="33"/>
  <c r="BW26" i="33"/>
  <c r="BU103" i="33" s="1"/>
  <c r="BV26" i="33"/>
  <c r="BS103" i="33" s="1"/>
  <c r="KK26" i="33"/>
  <c r="KJ26" i="33"/>
  <c r="KI26" i="33"/>
  <c r="R25" i="33"/>
  <c r="P102" i="33" s="1"/>
  <c r="Q25" i="33"/>
  <c r="N102" i="33" s="1"/>
  <c r="HR28" i="33"/>
  <c r="HO105" i="33" s="1"/>
  <c r="HS28" i="33"/>
  <c r="HQ105" i="33" s="1"/>
  <c r="IK25" i="33"/>
  <c r="IH102" i="33" s="1"/>
  <c r="IL25" i="33"/>
  <c r="IJ102" i="33" s="1"/>
  <c r="ID27" i="33"/>
  <c r="IF27" i="33"/>
  <c r="IE27" i="33"/>
  <c r="FH23" i="33"/>
  <c r="FG23" i="33"/>
  <c r="FF23" i="33"/>
  <c r="DH26" i="33"/>
  <c r="DE103" i="33" s="1"/>
  <c r="DI26" i="33"/>
  <c r="DG103" i="33" s="1"/>
  <c r="GY26" i="33"/>
  <c r="GV103" i="33" s="1"/>
  <c r="GZ26" i="33"/>
  <c r="GX103" i="33" s="1"/>
  <c r="IK5" i="33"/>
  <c r="IH82" i="33" s="1"/>
  <c r="IL5" i="33"/>
  <c r="IJ82" i="33" s="1"/>
  <c r="BO26" i="33"/>
  <c r="BQ26" i="33"/>
  <c r="BP26" i="33"/>
  <c r="BQ22" i="33"/>
  <c r="BO22" i="33"/>
  <c r="BP22" i="33"/>
  <c r="GZ20" i="33"/>
  <c r="GX97" i="33" s="1"/>
  <c r="GY20" i="33"/>
  <c r="GV97" i="33" s="1"/>
  <c r="HR12" i="33"/>
  <c r="HO89" i="33" s="1"/>
  <c r="HS12" i="33"/>
  <c r="HQ89" i="33" s="1"/>
  <c r="GS32" i="33"/>
  <c r="GT32" i="33"/>
  <c r="GR32" i="33"/>
  <c r="JD19" i="33"/>
  <c r="JA96" i="33" s="1"/>
  <c r="JE19" i="33"/>
  <c r="JC96" i="33" s="1"/>
  <c r="JX16" i="33"/>
  <c r="JV93" i="33" s="1"/>
  <c r="JW16" i="33"/>
  <c r="JT93" i="33" s="1"/>
  <c r="JD33" i="33"/>
  <c r="JA110" i="33" s="1"/>
  <c r="JE33" i="33"/>
  <c r="JC110" i="33" s="1"/>
  <c r="FY33" i="33"/>
  <c r="GA33" i="33"/>
  <c r="FZ33" i="33"/>
  <c r="GR12" i="33"/>
  <c r="GS12" i="33"/>
  <c r="GT12" i="33"/>
  <c r="FG9" i="33"/>
  <c r="FF9" i="33"/>
  <c r="FH9" i="33"/>
  <c r="JP21" i="33"/>
  <c r="JR21" i="33"/>
  <c r="JQ21" i="33"/>
  <c r="JE17" i="33"/>
  <c r="JC94" i="33" s="1"/>
  <c r="JD17" i="33"/>
  <c r="JA94" i="33" s="1"/>
  <c r="DI6" i="33"/>
  <c r="DG83" i="33" s="1"/>
  <c r="DH6" i="33"/>
  <c r="DE83" i="33" s="1"/>
  <c r="KP10" i="33"/>
  <c r="KM87" i="33" s="1"/>
  <c r="KQ10" i="33"/>
  <c r="KO87" i="33" s="1"/>
  <c r="FM5" i="33"/>
  <c r="FJ82" i="33" s="1"/>
  <c r="FN5" i="33"/>
  <c r="FL82" i="33" s="1"/>
  <c r="GZ10" i="33"/>
  <c r="GX87" i="33" s="1"/>
  <c r="GY10" i="33"/>
  <c r="GV87" i="33" s="1"/>
  <c r="HL10" i="33"/>
  <c r="HK10" i="33"/>
  <c r="HM10" i="33"/>
  <c r="DB6" i="33"/>
  <c r="DC6" i="33"/>
  <c r="DA6" i="33"/>
  <c r="CI32" i="33"/>
  <c r="CJ32" i="33"/>
  <c r="CH32" i="33"/>
  <c r="IY33" i="33"/>
  <c r="IX33" i="33"/>
  <c r="IW33" i="33"/>
  <c r="CJ16" i="33"/>
  <c r="CI16" i="33"/>
  <c r="CH16" i="33"/>
  <c r="FY37" i="33"/>
  <c r="FZ37" i="33"/>
  <c r="GA37" i="33"/>
  <c r="EB27" i="33"/>
  <c r="DZ104" i="33" s="1"/>
  <c r="EA27" i="33"/>
  <c r="DX104" i="33" s="1"/>
  <c r="JX5" i="33"/>
  <c r="JV82" i="33" s="1"/>
  <c r="JW5" i="33"/>
  <c r="JT82" i="33" s="1"/>
  <c r="HS6" i="33"/>
  <c r="HQ83" i="33" s="1"/>
  <c r="HR6" i="33"/>
  <c r="HO83" i="33" s="1"/>
  <c r="GR34" i="33"/>
  <c r="GT34" i="33"/>
  <c r="GS34" i="33"/>
  <c r="KP8" i="33"/>
  <c r="KM85" i="33" s="1"/>
  <c r="KQ8" i="33"/>
  <c r="KO85" i="33" s="1"/>
  <c r="IL11" i="33"/>
  <c r="IJ88" i="33" s="1"/>
  <c r="IK11" i="33"/>
  <c r="IH88" i="33" s="1"/>
  <c r="GR20" i="33"/>
  <c r="GT20" i="33"/>
  <c r="GS20" i="33"/>
  <c r="GR18" i="33"/>
  <c r="GT18" i="33"/>
  <c r="GS18" i="33"/>
  <c r="LI21" i="33"/>
  <c r="LF98" i="33" s="1"/>
  <c r="LJ21" i="33"/>
  <c r="LH98" i="33" s="1"/>
  <c r="DZ2" i="1"/>
  <c r="DY15" i="1"/>
  <c r="DZ11" i="1"/>
  <c r="P104" i="1"/>
  <c r="K6" i="3"/>
  <c r="DY10" i="1"/>
  <c r="N17" i="1"/>
  <c r="X2" i="3"/>
  <c r="L17" i="1"/>
  <c r="W2" i="3"/>
  <c r="V2" i="3"/>
  <c r="P17" i="1"/>
  <c r="V17" i="1"/>
  <c r="AB2" i="3"/>
  <c r="AA2" i="3"/>
  <c r="R17" i="1"/>
  <c r="Z2" i="3"/>
  <c r="T17" i="1"/>
  <c r="DZ1" i="1"/>
  <c r="DZ16" i="1"/>
  <c r="DY18" i="1"/>
  <c r="T89" i="1"/>
  <c r="M5" i="3"/>
  <c r="DY12" i="1"/>
  <c r="N3" i="3"/>
  <c r="V59" i="1"/>
  <c r="DY8" i="1"/>
  <c r="DZ7" i="1"/>
  <c r="DY2" i="1"/>
  <c r="J45" i="1"/>
  <c r="V45" i="1"/>
  <c r="N45" i="1"/>
  <c r="I3" i="3"/>
  <c r="T45" i="1"/>
  <c r="R45" i="1"/>
  <c r="L59" i="1"/>
  <c r="P60" i="1" s="1"/>
  <c r="J17" i="1"/>
  <c r="DZ17" i="1"/>
  <c r="DY13" i="1"/>
  <c r="J3" i="3"/>
  <c r="N59" i="1"/>
  <c r="L3" i="3"/>
  <c r="R59" i="1"/>
  <c r="DZ18" i="1"/>
  <c r="DY1" i="1"/>
  <c r="DY4" i="1"/>
  <c r="DZ14" i="1"/>
  <c r="H3" i="3"/>
  <c r="J59" i="1"/>
  <c r="DY11" i="1"/>
  <c r="DZ6" i="1"/>
  <c r="DZ8" i="1"/>
  <c r="DZ3" i="1"/>
  <c r="DZ10" i="1"/>
  <c r="DZ12" i="1"/>
  <c r="DY9" i="1"/>
  <c r="DY5" i="1"/>
  <c r="DZ15" i="1"/>
  <c r="DZ9" i="1"/>
  <c r="DZ4" i="1"/>
  <c r="N32" i="1" l="1"/>
  <c r="X3" i="3"/>
  <c r="L32" i="1"/>
  <c r="W3" i="3"/>
  <c r="R32" i="1"/>
  <c r="Z3" i="3"/>
  <c r="DS15" i="1"/>
  <c r="V3" i="3"/>
  <c r="AA3" i="3"/>
  <c r="P32" i="1"/>
  <c r="T32" i="1"/>
  <c r="V32" i="1"/>
  <c r="AB3" i="3"/>
  <c r="P119" i="1"/>
  <c r="K7" i="3"/>
  <c r="DS18" i="1"/>
  <c r="J4" i="3"/>
  <c r="N74" i="1"/>
  <c r="T60" i="1"/>
  <c r="I4" i="3"/>
  <c r="N60" i="1"/>
  <c r="R60" i="1"/>
  <c r="L74" i="1"/>
  <c r="P75" i="1" s="1"/>
  <c r="V60" i="1"/>
  <c r="J60" i="1"/>
  <c r="H4" i="3"/>
  <c r="J74" i="1"/>
  <c r="DS12" i="1"/>
  <c r="R74" i="1"/>
  <c r="L4" i="3"/>
  <c r="DS10" i="1"/>
  <c r="DS3" i="1"/>
  <c r="DS17" i="1"/>
  <c r="DS7" i="1"/>
  <c r="V74" i="1"/>
  <c r="N4" i="3"/>
  <c r="DS4" i="1"/>
  <c r="DS8" i="1"/>
  <c r="DS14" i="1"/>
  <c r="T104" i="1"/>
  <c r="M6" i="3"/>
  <c r="DS9" i="1"/>
  <c r="DS6" i="1"/>
  <c r="DS16" i="1"/>
  <c r="J32" i="1"/>
  <c r="DS2" i="1"/>
  <c r="DS5" i="1"/>
  <c r="DS11" i="1"/>
  <c r="DS13" i="1"/>
  <c r="DS1" i="1"/>
  <c r="R47" i="1" l="1"/>
  <c r="Z4" i="3"/>
  <c r="J57" i="33"/>
  <c r="V47" i="1"/>
  <c r="AB4" i="3"/>
  <c r="V4" i="3"/>
  <c r="P47" i="1"/>
  <c r="T47" i="1"/>
  <c r="AA4" i="3"/>
  <c r="P134" i="1"/>
  <c r="K8" i="3"/>
  <c r="L47" i="1"/>
  <c r="W4" i="3"/>
  <c r="N47" i="1"/>
  <c r="X4" i="3"/>
  <c r="J44" i="33"/>
  <c r="J58" i="33"/>
  <c r="J50" i="33"/>
  <c r="J59" i="33"/>
  <c r="J48" i="33"/>
  <c r="T119" i="1"/>
  <c r="M7" i="3"/>
  <c r="J46" i="33"/>
  <c r="J45" i="33"/>
  <c r="J54" i="33"/>
  <c r="J47" i="1"/>
  <c r="J51" i="33"/>
  <c r="V89" i="1"/>
  <c r="N5" i="3"/>
  <c r="J52" i="33"/>
  <c r="ED12" i="1"/>
  <c r="EE5" i="1"/>
  <c r="AA6" i="1" s="1"/>
  <c r="EE8" i="1"/>
  <c r="AA9" i="1" s="1"/>
  <c r="EE13" i="1"/>
  <c r="AA14" i="1" s="1"/>
  <c r="EH11" i="1"/>
  <c r="EF12" i="1"/>
  <c r="AC13" i="1" s="1"/>
  <c r="EG8" i="1"/>
  <c r="AD9" i="1" s="1"/>
  <c r="EG11" i="1"/>
  <c r="AD12" i="1" s="1"/>
  <c r="EC6" i="1"/>
  <c r="EE1" i="1"/>
  <c r="AA2" i="1" s="1"/>
  <c r="ED2" i="1"/>
  <c r="EC18" i="1"/>
  <c r="EE12" i="1"/>
  <c r="AA13" i="1" s="1"/>
  <c r="EC10" i="1"/>
  <c r="EG17" i="1"/>
  <c r="AD18" i="1" s="1"/>
  <c r="EE9" i="1"/>
  <c r="AA10" i="1" s="1"/>
  <c r="EH4" i="1"/>
  <c r="EC13" i="1"/>
  <c r="EC2" i="1"/>
  <c r="EH1" i="1"/>
  <c r="EH3" i="1"/>
  <c r="EH13" i="1"/>
  <c r="EE10" i="1"/>
  <c r="AA11" i="1" s="1"/>
  <c r="EE11" i="1"/>
  <c r="AA12" i="1" s="1"/>
  <c r="EG1" i="1"/>
  <c r="AD2" i="1" s="1"/>
  <c r="EG10" i="1"/>
  <c r="AD11" i="1" s="1"/>
  <c r="ED8" i="1"/>
  <c r="ED10" i="1"/>
  <c r="EH2" i="1"/>
  <c r="EF17" i="1"/>
  <c r="AC18" i="1" s="1"/>
  <c r="ED11" i="1"/>
  <c r="ED14" i="1"/>
  <c r="EG7" i="1"/>
  <c r="AD8" i="1" s="1"/>
  <c r="EF6" i="1"/>
  <c r="AC7" i="1" s="1"/>
  <c r="EH7" i="1"/>
  <c r="ED17" i="1"/>
  <c r="EG3" i="1"/>
  <c r="AD4" i="1" s="1"/>
  <c r="EG4" i="1"/>
  <c r="AD5" i="1" s="1"/>
  <c r="EF5" i="1"/>
  <c r="AC6" i="1" s="1"/>
  <c r="ED15" i="1"/>
  <c r="EE2" i="1"/>
  <c r="AA3" i="1" s="1"/>
  <c r="EH18" i="1"/>
  <c r="EG6" i="1"/>
  <c r="AD7" i="1" s="1"/>
  <c r="EC9" i="1"/>
  <c r="EG5" i="1"/>
  <c r="AD6" i="1" s="1"/>
  <c r="EG9" i="1"/>
  <c r="AD10" i="1" s="1"/>
  <c r="EH14" i="1"/>
  <c r="EC7" i="1"/>
  <c r="ED13" i="1"/>
  <c r="EC12" i="1"/>
  <c r="ED3" i="1"/>
  <c r="EF7" i="1"/>
  <c r="AC8" i="1" s="1"/>
  <c r="EE17" i="1"/>
  <c r="AA18" i="1" s="1"/>
  <c r="ED7" i="1"/>
  <c r="EC17" i="1"/>
  <c r="ED9" i="1"/>
  <c r="EF16" i="1"/>
  <c r="AC17" i="1" s="1"/>
  <c r="EC4" i="1"/>
  <c r="EC3" i="1"/>
  <c r="EF11" i="1"/>
  <c r="AC12" i="1" s="1"/>
  <c r="EH5" i="1"/>
  <c r="EF4" i="1"/>
  <c r="AC5" i="1" s="1"/>
  <c r="EC5" i="1"/>
  <c r="EF14" i="1"/>
  <c r="AC15" i="1" s="1"/>
  <c r="EG2" i="1"/>
  <c r="AD3" i="1" s="1"/>
  <c r="ED6" i="1"/>
  <c r="EC14" i="1"/>
  <c r="ED18" i="1"/>
  <c r="EG13" i="1"/>
  <c r="AD14" i="1" s="1"/>
  <c r="EF13" i="1"/>
  <c r="AC14" i="1" s="1"/>
  <c r="EC8" i="1"/>
  <c r="EE3" i="1"/>
  <c r="AA4" i="1" s="1"/>
  <c r="ED16" i="1"/>
  <c r="EE6" i="1"/>
  <c r="AA7" i="1" s="1"/>
  <c r="EC15" i="1"/>
  <c r="EE7" i="1"/>
  <c r="AA8" i="1" s="1"/>
  <c r="EG12" i="1"/>
  <c r="AD13" i="1" s="1"/>
  <c r="EH12" i="1"/>
  <c r="ED5" i="1"/>
  <c r="EE18" i="1"/>
  <c r="AA19" i="1" s="1"/>
  <c r="EG18" i="1"/>
  <c r="AD19" i="1" s="1"/>
  <c r="J43" i="33"/>
  <c r="EF15" i="1"/>
  <c r="AC16" i="1" s="1"/>
  <c r="EG15" i="1"/>
  <c r="AD16" i="1" s="1"/>
  <c r="EC1" i="1"/>
  <c r="EF8" i="1"/>
  <c r="AC9" i="1" s="1"/>
  <c r="EH6" i="1"/>
  <c r="EH15" i="1"/>
  <c r="EG14" i="1"/>
  <c r="AD15" i="1" s="1"/>
  <c r="EH10" i="1"/>
  <c r="EF10" i="1"/>
  <c r="AC11" i="1" s="1"/>
  <c r="EH9" i="1"/>
  <c r="EC16" i="1"/>
  <c r="EE15" i="1"/>
  <c r="AA16" i="1" s="1"/>
  <c r="EF2" i="1"/>
  <c r="AC3" i="1" s="1"/>
  <c r="EE16" i="1"/>
  <c r="AA17" i="1" s="1"/>
  <c r="EE14" i="1"/>
  <c r="AA15" i="1" s="1"/>
  <c r="ED1" i="1"/>
  <c r="ED4" i="1"/>
  <c r="EH8" i="1"/>
  <c r="EG16" i="1"/>
  <c r="AD17" i="1" s="1"/>
  <c r="EH16" i="1"/>
  <c r="EF3" i="1"/>
  <c r="AC4" i="1" s="1"/>
  <c r="EF1" i="1"/>
  <c r="AC2" i="1" s="1"/>
  <c r="EC11" i="1"/>
  <c r="EH17" i="1"/>
  <c r="EE4" i="1"/>
  <c r="AA5" i="1" s="1"/>
  <c r="EF18" i="1"/>
  <c r="AC19" i="1" s="1"/>
  <c r="EF9" i="1"/>
  <c r="AC10" i="1" s="1"/>
  <c r="R75" i="1"/>
  <c r="L5" i="3"/>
  <c r="R89" i="1"/>
  <c r="L89" i="1"/>
  <c r="P90" i="1" s="1"/>
  <c r="T75" i="1"/>
  <c r="I5" i="3"/>
  <c r="N75" i="1"/>
  <c r="V75" i="1"/>
  <c r="J75" i="1"/>
  <c r="N89" i="1"/>
  <c r="J5" i="3"/>
  <c r="J55" i="33"/>
  <c r="J53" i="33"/>
  <c r="J47" i="33"/>
  <c r="J56" i="33"/>
  <c r="J49" i="33"/>
  <c r="H5" i="3"/>
  <c r="J89" i="1"/>
  <c r="J60" i="33"/>
  <c r="V62" i="1" l="1"/>
  <c r="AB5" i="3"/>
  <c r="V5" i="3"/>
  <c r="P62" i="1"/>
  <c r="T62" i="1"/>
  <c r="AA5" i="3"/>
  <c r="N62" i="1"/>
  <c r="X5" i="3"/>
  <c r="P149" i="1"/>
  <c r="K9" i="3"/>
  <c r="L62" i="1"/>
  <c r="W5" i="3"/>
  <c r="R62" i="1"/>
  <c r="Z5" i="3"/>
  <c r="T90" i="1"/>
  <c r="I6" i="3"/>
  <c r="L104" i="1"/>
  <c r="P105" i="1" s="1"/>
  <c r="R90" i="1"/>
  <c r="N90" i="1"/>
  <c r="J90" i="1"/>
  <c r="V90" i="1"/>
  <c r="AE16" i="1"/>
  <c r="AE3" i="1"/>
  <c r="AE14" i="1"/>
  <c r="N104" i="1"/>
  <c r="J6" i="3"/>
  <c r="AE17" i="1"/>
  <c r="AE7" i="1"/>
  <c r="AE4" i="1"/>
  <c r="AE13" i="1"/>
  <c r="AE19" i="1"/>
  <c r="AE8" i="1"/>
  <c r="AE2" i="1"/>
  <c r="V104" i="1"/>
  <c r="N6" i="3"/>
  <c r="AE9" i="1"/>
  <c r="J104" i="1"/>
  <c r="H6" i="3"/>
  <c r="AE10" i="1"/>
  <c r="AE12" i="1"/>
  <c r="AE18" i="1"/>
  <c r="AE6" i="1"/>
  <c r="AE15" i="1"/>
  <c r="AE5" i="1"/>
  <c r="M8" i="3"/>
  <c r="T134" i="1"/>
  <c r="J62" i="1"/>
  <c r="L6" i="3"/>
  <c r="R104" i="1"/>
  <c r="AE11" i="1"/>
  <c r="V6" i="3" l="1"/>
  <c r="P77" i="1"/>
  <c r="T77" i="1"/>
  <c r="AA6" i="3"/>
  <c r="N77" i="1"/>
  <c r="X6" i="3"/>
  <c r="P164" i="1"/>
  <c r="K10" i="3"/>
  <c r="Z6" i="3"/>
  <c r="L77" i="1"/>
  <c r="W6" i="3"/>
  <c r="V77" i="1"/>
  <c r="AB6" i="3"/>
  <c r="J7" i="3"/>
  <c r="N119" i="1"/>
  <c r="R119" i="1"/>
  <c r="L7" i="3"/>
  <c r="M9" i="3"/>
  <c r="T149" i="1"/>
  <c r="I7" i="3"/>
  <c r="N105" i="1"/>
  <c r="L119" i="1"/>
  <c r="P120" i="1" s="1"/>
  <c r="T105" i="1"/>
  <c r="R105" i="1"/>
  <c r="V105" i="1"/>
  <c r="J105" i="1"/>
  <c r="R77" i="1"/>
  <c r="J77" i="1"/>
  <c r="N7" i="3"/>
  <c r="V119" i="1"/>
  <c r="J119" i="1"/>
  <c r="H7" i="3"/>
  <c r="V7" i="3" l="1"/>
  <c r="P92" i="1"/>
  <c r="T92" i="1"/>
  <c r="AA7" i="3"/>
  <c r="N92" i="1"/>
  <c r="X7" i="3"/>
  <c r="V92" i="1"/>
  <c r="AB7" i="3"/>
  <c r="L92" i="1"/>
  <c r="W7" i="3"/>
  <c r="R92" i="1"/>
  <c r="Z7" i="3"/>
  <c r="P179" i="1"/>
  <c r="K11" i="3"/>
  <c r="V134" i="1"/>
  <c r="N8" i="3"/>
  <c r="M10" i="3"/>
  <c r="T164" i="1"/>
  <c r="L134" i="1"/>
  <c r="P135" i="1" s="1"/>
  <c r="T120" i="1"/>
  <c r="R120" i="1"/>
  <c r="I8" i="3"/>
  <c r="N120" i="1"/>
  <c r="V120" i="1"/>
  <c r="J120" i="1"/>
  <c r="N134" i="1"/>
  <c r="J8" i="3"/>
  <c r="L8" i="3"/>
  <c r="R134" i="1"/>
  <c r="J134" i="1"/>
  <c r="H8" i="3"/>
  <c r="J92" i="1"/>
  <c r="CQ22" i="33" l="1"/>
  <c r="CM99" i="33" s="1"/>
  <c r="CR22" i="33"/>
  <c r="CO99" i="33" s="1"/>
  <c r="CK22" i="33"/>
  <c r="CM22" i="33"/>
  <c r="CL22" i="33"/>
  <c r="DX22" i="33"/>
  <c r="DY22" i="33"/>
  <c r="DW22" i="33"/>
  <c r="ED22" i="33"/>
  <c r="EA99" i="33" s="1"/>
  <c r="EC22" i="33"/>
  <c r="DY99" i="33" s="1"/>
  <c r="FO22" i="33"/>
  <c r="FK99" i="33" s="1"/>
  <c r="FP22" i="33"/>
  <c r="FM99" i="33" s="1"/>
  <c r="FJ22" i="33"/>
  <c r="FK22" i="33"/>
  <c r="FI22" i="33"/>
  <c r="JY22" i="33"/>
  <c r="JU99" i="33" s="1"/>
  <c r="JZ22" i="33"/>
  <c r="JW99" i="33" s="1"/>
  <c r="JU22" i="33"/>
  <c r="JT22" i="33"/>
  <c r="JS22" i="33"/>
  <c r="HO5" i="33"/>
  <c r="HP5" i="33"/>
  <c r="HN5" i="33"/>
  <c r="HT5" i="33"/>
  <c r="HP82" i="33" s="1"/>
  <c r="HU5" i="33"/>
  <c r="HR82" i="33" s="1"/>
  <c r="JF5" i="33"/>
  <c r="JB82" i="33" s="1"/>
  <c r="JG5" i="33"/>
  <c r="JD82" i="33" s="1"/>
  <c r="JB5" i="33"/>
  <c r="JA5" i="33"/>
  <c r="IZ5" i="33"/>
  <c r="GC5" i="33"/>
  <c r="GB5" i="33"/>
  <c r="GD5" i="33"/>
  <c r="GH5" i="33"/>
  <c r="GD82" i="33" s="1"/>
  <c r="GI5" i="33"/>
  <c r="GF82" i="33" s="1"/>
  <c r="AL5" i="33"/>
  <c r="AH82" i="33" s="1"/>
  <c r="AM5" i="33"/>
  <c r="AJ82" i="33" s="1"/>
  <c r="AG5" i="33"/>
  <c r="AH5" i="33"/>
  <c r="AF5" i="33"/>
  <c r="BP30" i="33"/>
  <c r="BQ30" i="33"/>
  <c r="BO30" i="33"/>
  <c r="BO12" i="33"/>
  <c r="BP12" i="33"/>
  <c r="BQ12" i="33"/>
  <c r="BP14" i="33"/>
  <c r="BQ14" i="33"/>
  <c r="BO14" i="33"/>
  <c r="BQ10" i="33"/>
  <c r="BO10" i="33"/>
  <c r="BP10" i="33"/>
  <c r="BO28" i="33"/>
  <c r="BP28" i="33"/>
  <c r="BQ28" i="33"/>
  <c r="BV10" i="33"/>
  <c r="BS87" i="33" s="1"/>
  <c r="BW10" i="33"/>
  <c r="BU87" i="33" s="1"/>
  <c r="BV12" i="33"/>
  <c r="BS89" i="33" s="1"/>
  <c r="BW12" i="33"/>
  <c r="BU89" i="33" s="1"/>
  <c r="BV28" i="33"/>
  <c r="BS105" i="33" s="1"/>
  <c r="BW28" i="33"/>
  <c r="BU105" i="33" s="1"/>
  <c r="BV30" i="33"/>
  <c r="BS107" i="33" s="1"/>
  <c r="BW30" i="33"/>
  <c r="BU107" i="33" s="1"/>
  <c r="BV14" i="33"/>
  <c r="BS91" i="33" s="1"/>
  <c r="BW14" i="33"/>
  <c r="BU91" i="33" s="1"/>
  <c r="BD10" i="33"/>
  <c r="BB87" i="33" s="1"/>
  <c r="BC10" i="33"/>
  <c r="AZ87" i="33" s="1"/>
  <c r="AE13" i="33"/>
  <c r="AD13" i="33"/>
  <c r="AC13" i="33"/>
  <c r="AV5" i="33"/>
  <c r="AW5" i="33"/>
  <c r="AX5" i="33"/>
  <c r="AK31" i="33"/>
  <c r="AI108" i="33" s="1"/>
  <c r="AJ31" i="33"/>
  <c r="AG108" i="33" s="1"/>
  <c r="AK19" i="33"/>
  <c r="AI96" i="33" s="1"/>
  <c r="AJ19" i="33"/>
  <c r="AG96" i="33" s="1"/>
  <c r="AC11" i="33"/>
  <c r="AE11" i="33"/>
  <c r="AD11" i="33"/>
  <c r="AD6" i="33"/>
  <c r="AE6" i="33"/>
  <c r="AC6" i="33"/>
  <c r="BC23" i="33"/>
  <c r="AZ100" i="33" s="1"/>
  <c r="BD23" i="33"/>
  <c r="BB100" i="33" s="1"/>
  <c r="AK29" i="33"/>
  <c r="AI106" i="33" s="1"/>
  <c r="AJ29" i="33"/>
  <c r="AG106" i="33" s="1"/>
  <c r="AV14" i="33"/>
  <c r="AX14" i="33"/>
  <c r="AW14" i="33"/>
  <c r="BC34" i="33"/>
  <c r="AZ111" i="33" s="1"/>
  <c r="BD34" i="33"/>
  <c r="BB111" i="33" s="1"/>
  <c r="AC4" i="33"/>
  <c r="AD4" i="33"/>
  <c r="AE4" i="33"/>
  <c r="AJ35" i="33"/>
  <c r="AG112" i="33" s="1"/>
  <c r="AK35" i="33"/>
  <c r="AI112" i="33" s="1"/>
  <c r="AE15" i="33"/>
  <c r="AC15" i="33"/>
  <c r="AD15" i="33"/>
  <c r="AX23" i="33"/>
  <c r="AV23" i="33"/>
  <c r="AW23" i="33"/>
  <c r="AK33" i="33"/>
  <c r="AI110" i="33" s="1"/>
  <c r="AJ33" i="33"/>
  <c r="AG110" i="33" s="1"/>
  <c r="BC30" i="33"/>
  <c r="AZ107" i="33" s="1"/>
  <c r="BD30" i="33"/>
  <c r="BB107" i="33" s="1"/>
  <c r="AW28" i="33"/>
  <c r="AV28" i="33"/>
  <c r="AX28" i="33"/>
  <c r="AJ4" i="33"/>
  <c r="AG81" i="33" s="1"/>
  <c r="AK4" i="33"/>
  <c r="AI81" i="33" s="1"/>
  <c r="AC22" i="33"/>
  <c r="AE22" i="33"/>
  <c r="AD22" i="33"/>
  <c r="AE37" i="33"/>
  <c r="AC37" i="33"/>
  <c r="AD37" i="33"/>
  <c r="BC20" i="33"/>
  <c r="AZ97" i="33" s="1"/>
  <c r="BD20" i="33"/>
  <c r="BB97" i="33" s="1"/>
  <c r="BC21" i="33"/>
  <c r="AZ98" i="33" s="1"/>
  <c r="BD21" i="33"/>
  <c r="BB98" i="33" s="1"/>
  <c r="AE29" i="33"/>
  <c r="AC29" i="33"/>
  <c r="AD29" i="33"/>
  <c r="AJ22" i="33"/>
  <c r="AG99" i="33" s="1"/>
  <c r="AK22" i="33"/>
  <c r="AI99" i="33" s="1"/>
  <c r="AD19" i="33"/>
  <c r="AC19" i="33"/>
  <c r="AE19" i="33"/>
  <c r="AE24" i="33"/>
  <c r="AC24" i="33"/>
  <c r="AD24" i="33"/>
  <c r="BC5" i="33"/>
  <c r="AZ82" i="33" s="1"/>
  <c r="BD5" i="33"/>
  <c r="BB82" i="33" s="1"/>
  <c r="AV10" i="33"/>
  <c r="AW10" i="33"/>
  <c r="AX10" i="33"/>
  <c r="BD14" i="33"/>
  <c r="BB91" i="33" s="1"/>
  <c r="BC14" i="33"/>
  <c r="AZ91" i="33" s="1"/>
  <c r="BD12" i="33"/>
  <c r="BB89" i="33" s="1"/>
  <c r="BC12" i="33"/>
  <c r="AZ89" i="33" s="1"/>
  <c r="AC27" i="33"/>
  <c r="AE27" i="33"/>
  <c r="AD27" i="33"/>
  <c r="AW21" i="33"/>
  <c r="AX21" i="33"/>
  <c r="AV21" i="33"/>
  <c r="AW34" i="33"/>
  <c r="AV34" i="33"/>
  <c r="AX34" i="33"/>
  <c r="AE35" i="33"/>
  <c r="AD35" i="33"/>
  <c r="AC35" i="33"/>
  <c r="BD36" i="33"/>
  <c r="BB113" i="33" s="1"/>
  <c r="BC36" i="33"/>
  <c r="AZ113" i="33" s="1"/>
  <c r="AE8" i="33"/>
  <c r="AC8" i="33"/>
  <c r="AD8" i="33"/>
  <c r="AW16" i="33"/>
  <c r="AX16" i="33"/>
  <c r="AV16" i="33"/>
  <c r="BC28" i="33"/>
  <c r="AZ105" i="33" s="1"/>
  <c r="BD28" i="33"/>
  <c r="BB105" i="33" s="1"/>
  <c r="AJ8" i="33"/>
  <c r="AG85" i="33" s="1"/>
  <c r="AK8" i="33"/>
  <c r="AI85" i="33" s="1"/>
  <c r="AK37" i="33"/>
  <c r="AI114" i="33" s="1"/>
  <c r="AJ37" i="33"/>
  <c r="AG114" i="33" s="1"/>
  <c r="AC33" i="33"/>
  <c r="AD33" i="33"/>
  <c r="AE33" i="33"/>
  <c r="BC16" i="33"/>
  <c r="AZ93" i="33" s="1"/>
  <c r="BD16" i="33"/>
  <c r="BB93" i="33" s="1"/>
  <c r="AK15" i="33"/>
  <c r="AI92" i="33" s="1"/>
  <c r="AJ15" i="33"/>
  <c r="AG92" i="33" s="1"/>
  <c r="AV18" i="33"/>
  <c r="AX18" i="33"/>
  <c r="AW18" i="33"/>
  <c r="AJ17" i="33"/>
  <c r="AG94" i="33" s="1"/>
  <c r="AK17" i="33"/>
  <c r="AI94" i="33" s="1"/>
  <c r="AW30" i="33"/>
  <c r="AV30" i="33"/>
  <c r="AX30" i="33"/>
  <c r="BC32" i="33"/>
  <c r="AZ109" i="33" s="1"/>
  <c r="BD32" i="33"/>
  <c r="BB109" i="33" s="1"/>
  <c r="AJ6" i="33"/>
  <c r="AG83" i="33" s="1"/>
  <c r="AK6" i="33"/>
  <c r="AI83" i="33" s="1"/>
  <c r="AJ13" i="33"/>
  <c r="AG90" i="33" s="1"/>
  <c r="AK13" i="33"/>
  <c r="AI90" i="33" s="1"/>
  <c r="AX32" i="33"/>
  <c r="AV32" i="33"/>
  <c r="AW32" i="33"/>
  <c r="AK27" i="33"/>
  <c r="AI104" i="33" s="1"/>
  <c r="AJ27" i="33"/>
  <c r="AG104" i="33" s="1"/>
  <c r="BD18" i="33"/>
  <c r="BB95" i="33" s="1"/>
  <c r="BC18" i="33"/>
  <c r="AZ95" i="33" s="1"/>
  <c r="AV20" i="33"/>
  <c r="AX20" i="33"/>
  <c r="AW20" i="33"/>
  <c r="AK24" i="33"/>
  <c r="AI101" i="33" s="1"/>
  <c r="AJ24" i="33"/>
  <c r="AG101" i="33" s="1"/>
  <c r="AV12" i="33"/>
  <c r="AX12" i="33"/>
  <c r="AW12" i="33"/>
  <c r="AJ11" i="33"/>
  <c r="AG88" i="33" s="1"/>
  <c r="AK11" i="33"/>
  <c r="AI88" i="33" s="1"/>
  <c r="AE31" i="33"/>
  <c r="AD31" i="33"/>
  <c r="AC31" i="33"/>
  <c r="AC17" i="33"/>
  <c r="AE17" i="33"/>
  <c r="AD17" i="33"/>
  <c r="AX36" i="33"/>
  <c r="AV36" i="33"/>
  <c r="AW36" i="33"/>
  <c r="BF22" i="33"/>
  <c r="BC99" i="33" s="1"/>
  <c r="BE22" i="33"/>
  <c r="BA99" i="33" s="1"/>
  <c r="BE4" i="33"/>
  <c r="BA81" i="33" s="1"/>
  <c r="BF4" i="33"/>
  <c r="BC81" i="33" s="1"/>
  <c r="AZ22" i="33"/>
  <c r="BA22" i="33"/>
  <c r="AY22" i="33"/>
  <c r="BF31" i="33"/>
  <c r="BC108" i="33" s="1"/>
  <c r="BE31" i="33"/>
  <c r="BA108" i="33" s="1"/>
  <c r="BE33" i="33"/>
  <c r="BA110" i="33" s="1"/>
  <c r="BF33" i="33"/>
  <c r="BC110" i="33" s="1"/>
  <c r="BA35" i="33"/>
  <c r="AY35" i="33"/>
  <c r="AZ35" i="33"/>
  <c r="AY27" i="33"/>
  <c r="BA27" i="33"/>
  <c r="AZ27" i="33"/>
  <c r="AY31" i="33"/>
  <c r="BA31" i="33"/>
  <c r="AZ31" i="33"/>
  <c r="AZ29" i="33"/>
  <c r="AY29" i="33"/>
  <c r="BA29" i="33"/>
  <c r="BE13" i="33"/>
  <c r="BA90" i="33" s="1"/>
  <c r="BF13" i="33"/>
  <c r="BC90" i="33" s="1"/>
  <c r="AY13" i="33"/>
  <c r="BA13" i="33"/>
  <c r="AZ13" i="33"/>
  <c r="BF27" i="33"/>
  <c r="BC104" i="33" s="1"/>
  <c r="BE27" i="33"/>
  <c r="BA104" i="33" s="1"/>
  <c r="BA33" i="33"/>
  <c r="AZ33" i="33"/>
  <c r="AY33" i="33"/>
  <c r="BF11" i="33"/>
  <c r="BC88" i="33" s="1"/>
  <c r="BE11" i="33"/>
  <c r="BA88" i="33" s="1"/>
  <c r="BF29" i="33"/>
  <c r="BC106" i="33" s="1"/>
  <c r="BE29" i="33"/>
  <c r="BA106" i="33" s="1"/>
  <c r="BA4" i="33"/>
  <c r="AZ4" i="33"/>
  <c r="AY4" i="33"/>
  <c r="BF35" i="33"/>
  <c r="BC112" i="33" s="1"/>
  <c r="BE35" i="33"/>
  <c r="BA112" i="33" s="1"/>
  <c r="BA11" i="33"/>
  <c r="AY11" i="33"/>
  <c r="AZ11" i="33"/>
  <c r="N107" i="1"/>
  <c r="X8" i="3"/>
  <c r="R107" i="1"/>
  <c r="Z8" i="3"/>
  <c r="L107" i="1"/>
  <c r="W8" i="3"/>
  <c r="V107" i="1"/>
  <c r="AB8" i="3"/>
  <c r="P194" i="1"/>
  <c r="K12" i="3"/>
  <c r="V8" i="3"/>
  <c r="P107" i="1"/>
  <c r="T107" i="1"/>
  <c r="AA8" i="3"/>
  <c r="J9" i="3"/>
  <c r="N149" i="1"/>
  <c r="T135" i="1"/>
  <c r="L149" i="1"/>
  <c r="P150" i="1" s="1"/>
  <c r="N135" i="1"/>
  <c r="I9" i="3"/>
  <c r="R135" i="1"/>
  <c r="J135" i="1"/>
  <c r="V135" i="1"/>
  <c r="N9" i="3"/>
  <c r="V149" i="1"/>
  <c r="J149" i="1"/>
  <c r="H9" i="3"/>
  <c r="R149" i="1"/>
  <c r="L9" i="3"/>
  <c r="J107" i="1"/>
  <c r="M11" i="3"/>
  <c r="T179" i="1"/>
  <c r="S37" i="33" l="1"/>
  <c r="O114" i="33" s="1"/>
  <c r="T37" i="33"/>
  <c r="Q114" i="33" s="1"/>
  <c r="N37" i="33"/>
  <c r="M37" i="33"/>
  <c r="O37" i="33"/>
  <c r="BF37" i="33"/>
  <c r="BC114" i="33" s="1"/>
  <c r="BE37" i="33"/>
  <c r="BA114" i="33" s="1"/>
  <c r="BA37" i="33"/>
  <c r="AZ37" i="33"/>
  <c r="AY37" i="33"/>
  <c r="JU37" i="33"/>
  <c r="JT37" i="33"/>
  <c r="JS37" i="33"/>
  <c r="JY37" i="33"/>
  <c r="JU114" i="33" s="1"/>
  <c r="JZ37" i="33"/>
  <c r="JW114" i="33" s="1"/>
  <c r="HU20" i="33"/>
  <c r="HR97" i="33" s="1"/>
  <c r="HT20" i="33"/>
  <c r="HP97" i="33" s="1"/>
  <c r="HN20" i="33"/>
  <c r="HO20" i="33"/>
  <c r="HP20" i="33"/>
  <c r="JB20" i="33"/>
  <c r="IZ20" i="33"/>
  <c r="JA20" i="33"/>
  <c r="JF20" i="33"/>
  <c r="JB97" i="33" s="1"/>
  <c r="JG20" i="33"/>
  <c r="JD97" i="33" s="1"/>
  <c r="GC20" i="33"/>
  <c r="GD20" i="33"/>
  <c r="GB20" i="33"/>
  <c r="GH20" i="33"/>
  <c r="GD97" i="33" s="1"/>
  <c r="GI20" i="33"/>
  <c r="GF97" i="33" s="1"/>
  <c r="AH20" i="33"/>
  <c r="AF20" i="33"/>
  <c r="AG20" i="33"/>
  <c r="AM20" i="33"/>
  <c r="AJ97" i="33" s="1"/>
  <c r="AL20" i="33"/>
  <c r="AH97" i="33" s="1"/>
  <c r="GB36" i="33"/>
  <c r="GD36" i="33"/>
  <c r="GC36" i="33"/>
  <c r="GH36" i="33"/>
  <c r="GD113" i="33" s="1"/>
  <c r="GI36" i="33"/>
  <c r="GF113" i="33" s="1"/>
  <c r="EQ36" i="33"/>
  <c r="EP36" i="33"/>
  <c r="ER36" i="33"/>
  <c r="EV36" i="33"/>
  <c r="ER113" i="33" s="1"/>
  <c r="EW36" i="33"/>
  <c r="ET113" i="33" s="1"/>
  <c r="AM36" i="33"/>
  <c r="AJ113" i="33" s="1"/>
  <c r="AL36" i="33"/>
  <c r="AH113" i="33" s="1"/>
  <c r="AH36" i="33"/>
  <c r="AF36" i="33"/>
  <c r="AG36" i="33"/>
  <c r="HO36" i="33"/>
  <c r="HN36" i="33"/>
  <c r="HP36" i="33"/>
  <c r="HU36" i="33"/>
  <c r="HR113" i="33" s="1"/>
  <c r="HT36" i="33"/>
  <c r="HP113" i="33" s="1"/>
  <c r="JT19" i="33"/>
  <c r="JS19" i="33"/>
  <c r="JU19" i="33"/>
  <c r="JY19" i="33"/>
  <c r="JU96" i="33" s="1"/>
  <c r="JZ19" i="33"/>
  <c r="JW96" i="33" s="1"/>
  <c r="EC19" i="33"/>
  <c r="DY96" i="33" s="1"/>
  <c r="ED19" i="33"/>
  <c r="EA96" i="33" s="1"/>
  <c r="DX19" i="33"/>
  <c r="DY19" i="33"/>
  <c r="DW19" i="33"/>
  <c r="CK19" i="33"/>
  <c r="CL19" i="33"/>
  <c r="CM19" i="33"/>
  <c r="CQ19" i="33"/>
  <c r="CM96" i="33" s="1"/>
  <c r="CR19" i="33"/>
  <c r="CO96" i="33" s="1"/>
  <c r="AZ19" i="33"/>
  <c r="BA19" i="33"/>
  <c r="AY19" i="33"/>
  <c r="BF19" i="33"/>
  <c r="BC96" i="33" s="1"/>
  <c r="BE19" i="33"/>
  <c r="BA96" i="33" s="1"/>
  <c r="CL35" i="33"/>
  <c r="CM35" i="33"/>
  <c r="CK35" i="33"/>
  <c r="CR35" i="33"/>
  <c r="CO112" i="33" s="1"/>
  <c r="CQ35" i="33"/>
  <c r="CM112" i="33" s="1"/>
  <c r="T35" i="33"/>
  <c r="Q112" i="33" s="1"/>
  <c r="S35" i="33"/>
  <c r="O112" i="33" s="1"/>
  <c r="M35" i="33"/>
  <c r="O35" i="33"/>
  <c r="N35" i="33"/>
  <c r="HP18" i="33"/>
  <c r="HO18" i="33"/>
  <c r="HN18" i="33"/>
  <c r="HU18" i="33"/>
  <c r="HR95" i="33" s="1"/>
  <c r="HT18" i="33"/>
  <c r="HP95" i="33" s="1"/>
  <c r="JA18" i="33"/>
  <c r="JB18" i="33"/>
  <c r="IZ18" i="33"/>
  <c r="JF18" i="33"/>
  <c r="JB95" i="33" s="1"/>
  <c r="JG18" i="33"/>
  <c r="JD95" i="33" s="1"/>
  <c r="GD18" i="33"/>
  <c r="GC18" i="33"/>
  <c r="GB18" i="33"/>
  <c r="GH18" i="33"/>
  <c r="GD95" i="33" s="1"/>
  <c r="GI18" i="33"/>
  <c r="GF95" i="33" s="1"/>
  <c r="AL18" i="33"/>
  <c r="AH95" i="33" s="1"/>
  <c r="AM18" i="33"/>
  <c r="AJ95" i="33" s="1"/>
  <c r="AG18" i="33"/>
  <c r="AH18" i="33"/>
  <c r="AF18" i="33"/>
  <c r="AG34" i="33"/>
  <c r="AF34" i="33"/>
  <c r="AH34" i="33"/>
  <c r="AM34" i="33"/>
  <c r="AJ111" i="33" s="1"/>
  <c r="AL34" i="33"/>
  <c r="AH111" i="33" s="1"/>
  <c r="JS17" i="33"/>
  <c r="JT17" i="33"/>
  <c r="JU17" i="33"/>
  <c r="JY17" i="33"/>
  <c r="JU94" i="33" s="1"/>
  <c r="JZ17" i="33"/>
  <c r="JW94" i="33" s="1"/>
  <c r="GV17" i="33"/>
  <c r="GU17" i="33"/>
  <c r="GW17" i="33"/>
  <c r="HA17" i="33"/>
  <c r="GW94" i="33" s="1"/>
  <c r="HB17" i="33"/>
  <c r="GY94" i="33" s="1"/>
  <c r="CL17" i="33"/>
  <c r="CM17" i="33"/>
  <c r="CK17" i="33"/>
  <c r="CR17" i="33"/>
  <c r="CO94" i="33" s="1"/>
  <c r="CQ17" i="33"/>
  <c r="CM94" i="33" s="1"/>
  <c r="BF17" i="33"/>
  <c r="BC94" i="33" s="1"/>
  <c r="BE17" i="33"/>
  <c r="BA94" i="33" s="1"/>
  <c r="BA17" i="33"/>
  <c r="AZ17" i="33"/>
  <c r="AY17" i="33"/>
  <c r="JZ33" i="33"/>
  <c r="JW110" i="33" s="1"/>
  <c r="JY33" i="33"/>
  <c r="JU110" i="33" s="1"/>
  <c r="JU33" i="33"/>
  <c r="JT33" i="33"/>
  <c r="JS33" i="33"/>
  <c r="JG16" i="33"/>
  <c r="JD93" i="33" s="1"/>
  <c r="JF16" i="33"/>
  <c r="JB93" i="33" s="1"/>
  <c r="JA16" i="33"/>
  <c r="IZ16" i="33"/>
  <c r="JB16" i="33"/>
  <c r="GB16" i="33"/>
  <c r="GD16" i="33"/>
  <c r="GC16" i="33"/>
  <c r="GH16" i="33"/>
  <c r="GD93" i="33" s="1"/>
  <c r="GI16" i="33"/>
  <c r="GF93" i="33" s="1"/>
  <c r="AM16" i="33"/>
  <c r="AJ93" i="33" s="1"/>
  <c r="AL16" i="33"/>
  <c r="AH93" i="33" s="1"/>
  <c r="AH16" i="33"/>
  <c r="AF16" i="33"/>
  <c r="AG16" i="33"/>
  <c r="GH32" i="33"/>
  <c r="GD109" i="33" s="1"/>
  <c r="GI32" i="33"/>
  <c r="GF109" i="33" s="1"/>
  <c r="GC32" i="33"/>
  <c r="GD32" i="33"/>
  <c r="GB32" i="33"/>
  <c r="JG32" i="33"/>
  <c r="JD109" i="33" s="1"/>
  <c r="JF32" i="33"/>
  <c r="JB109" i="33" s="1"/>
  <c r="JB32" i="33"/>
  <c r="JA32" i="33"/>
  <c r="IZ32" i="33"/>
  <c r="HT15" i="33"/>
  <c r="HP92" i="33" s="1"/>
  <c r="HU15" i="33"/>
  <c r="HR92" i="33" s="1"/>
  <c r="HP15" i="33"/>
  <c r="HO15" i="33"/>
  <c r="HN15" i="33"/>
  <c r="CQ15" i="33"/>
  <c r="CM92" i="33" s="1"/>
  <c r="CR15" i="33"/>
  <c r="CO92" i="33" s="1"/>
  <c r="CK15" i="33"/>
  <c r="CL15" i="33"/>
  <c r="CM15" i="33"/>
  <c r="BE15" i="33"/>
  <c r="BA92" i="33" s="1"/>
  <c r="BF15" i="33"/>
  <c r="BC92" i="33" s="1"/>
  <c r="AY15" i="33"/>
  <c r="BA15" i="33"/>
  <c r="AZ15" i="33"/>
  <c r="HU31" i="33"/>
  <c r="HR108" i="33" s="1"/>
  <c r="HT31" i="33"/>
  <c r="HP108" i="33" s="1"/>
  <c r="HN31" i="33"/>
  <c r="HP31" i="33"/>
  <c r="HO31" i="33"/>
  <c r="GV31" i="33"/>
  <c r="GW31" i="33"/>
  <c r="GU31" i="33"/>
  <c r="HA31" i="33"/>
  <c r="GW108" i="33" s="1"/>
  <c r="HB31" i="33"/>
  <c r="GY108" i="33" s="1"/>
  <c r="BX31" i="33"/>
  <c r="BT108" i="33" s="1"/>
  <c r="BY31" i="33"/>
  <c r="BV108" i="33" s="1"/>
  <c r="BS31" i="33"/>
  <c r="BT31" i="33"/>
  <c r="BR31" i="33"/>
  <c r="GB14" i="33"/>
  <c r="GD14" i="33"/>
  <c r="GC14" i="33"/>
  <c r="GI14" i="33"/>
  <c r="GF91" i="33" s="1"/>
  <c r="GH14" i="33"/>
  <c r="GD91" i="33" s="1"/>
  <c r="AG14" i="33"/>
  <c r="AF14" i="33"/>
  <c r="AH14" i="33"/>
  <c r="AM14" i="33"/>
  <c r="AJ91" i="33" s="1"/>
  <c r="AL14" i="33"/>
  <c r="AH91" i="33" s="1"/>
  <c r="EV30" i="33"/>
  <c r="ER107" i="33" s="1"/>
  <c r="EW30" i="33"/>
  <c r="ET107" i="33" s="1"/>
  <c r="ER30" i="33"/>
  <c r="EQ30" i="33"/>
  <c r="EP30" i="33"/>
  <c r="O30" i="33"/>
  <c r="M30" i="33"/>
  <c r="N30" i="33"/>
  <c r="T30" i="33"/>
  <c r="Q107" i="33" s="1"/>
  <c r="S30" i="33"/>
  <c r="O107" i="33" s="1"/>
  <c r="GU13" i="33"/>
  <c r="GW13" i="33"/>
  <c r="GV13" i="33"/>
  <c r="HA13" i="33"/>
  <c r="GW90" i="33" s="1"/>
  <c r="HB13" i="33"/>
  <c r="GY90" i="33" s="1"/>
  <c r="HT13" i="33"/>
  <c r="HP90" i="33" s="1"/>
  <c r="HU13" i="33"/>
  <c r="HR90" i="33" s="1"/>
  <c r="HN13" i="33"/>
  <c r="HP13" i="33"/>
  <c r="HO13" i="33"/>
  <c r="HP29" i="33"/>
  <c r="HO29" i="33"/>
  <c r="HN29" i="33"/>
  <c r="HT29" i="33"/>
  <c r="HP106" i="33" s="1"/>
  <c r="HU29" i="33"/>
  <c r="HR106" i="33" s="1"/>
  <c r="KS29" i="33"/>
  <c r="KP106" i="33" s="1"/>
  <c r="KR29" i="33"/>
  <c r="KN106" i="33" s="1"/>
  <c r="KN29" i="33"/>
  <c r="KM29" i="33"/>
  <c r="KL29" i="33"/>
  <c r="AL12" i="33"/>
  <c r="AH89" i="33" s="1"/>
  <c r="AM12" i="33"/>
  <c r="AJ89" i="33" s="1"/>
  <c r="AF12" i="33"/>
  <c r="AG12" i="33"/>
  <c r="AH12" i="33"/>
  <c r="AH28" i="33"/>
  <c r="AF28" i="33"/>
  <c r="AG28" i="33"/>
  <c r="AL28" i="33"/>
  <c r="AH105" i="33" s="1"/>
  <c r="AM28" i="33"/>
  <c r="AJ105" i="33" s="1"/>
  <c r="FO28" i="33"/>
  <c r="FK105" i="33" s="1"/>
  <c r="FP28" i="33"/>
  <c r="FM105" i="33" s="1"/>
  <c r="FJ28" i="33"/>
  <c r="FI28" i="33"/>
  <c r="FK28" i="33"/>
  <c r="GU11" i="33"/>
  <c r="GV11" i="33"/>
  <c r="GW11" i="33"/>
  <c r="HA11" i="33"/>
  <c r="GW88" i="33" s="1"/>
  <c r="HB11" i="33"/>
  <c r="GY88" i="33" s="1"/>
  <c r="HT11" i="33"/>
  <c r="HP88" i="33" s="1"/>
  <c r="HU11" i="33"/>
  <c r="HR88" i="33" s="1"/>
  <c r="HN11" i="33"/>
  <c r="HO11" i="33"/>
  <c r="HP11" i="33"/>
  <c r="GW27" i="33"/>
  <c r="GU27" i="33"/>
  <c r="GV27" i="33"/>
  <c r="HB27" i="33"/>
  <c r="GY104" i="33" s="1"/>
  <c r="HA27" i="33"/>
  <c r="GW104" i="33" s="1"/>
  <c r="BX27" i="33"/>
  <c r="BT104" i="33" s="1"/>
  <c r="BY27" i="33"/>
  <c r="BV104" i="33" s="1"/>
  <c r="BR27" i="33"/>
  <c r="BT27" i="33"/>
  <c r="BS27" i="33"/>
  <c r="DJ27" i="33"/>
  <c r="DF104" i="33" s="1"/>
  <c r="DK27" i="33"/>
  <c r="DH104" i="33" s="1"/>
  <c r="DD27" i="33"/>
  <c r="DE27" i="33"/>
  <c r="DF27" i="33"/>
  <c r="AF10" i="33"/>
  <c r="AH10" i="33"/>
  <c r="AG10" i="33"/>
  <c r="AM10" i="33"/>
  <c r="AJ87" i="33" s="1"/>
  <c r="AL10" i="33"/>
  <c r="AH87" i="33" s="1"/>
  <c r="FJ26" i="33"/>
  <c r="FI26" i="33"/>
  <c r="FK26" i="33"/>
  <c r="FP26" i="33"/>
  <c r="FM103" i="33" s="1"/>
  <c r="FO26" i="33"/>
  <c r="FK103" i="33" s="1"/>
  <c r="EC26" i="33"/>
  <c r="DY103" i="33" s="1"/>
  <c r="ED26" i="33"/>
  <c r="EA103" i="33" s="1"/>
  <c r="DY26" i="33"/>
  <c r="DW26" i="33"/>
  <c r="DX26" i="33"/>
  <c r="HN9" i="33"/>
  <c r="HO9" i="33"/>
  <c r="HP9" i="33"/>
  <c r="HU9" i="33"/>
  <c r="HR86" i="33" s="1"/>
  <c r="HT9" i="33"/>
  <c r="HP86" i="33" s="1"/>
  <c r="DK9" i="33"/>
  <c r="DH86" i="33" s="1"/>
  <c r="DJ9" i="33"/>
  <c r="DF86" i="33" s="1"/>
  <c r="DD9" i="33"/>
  <c r="DE9" i="33"/>
  <c r="DF9" i="33"/>
  <c r="HU25" i="33"/>
  <c r="HR102" i="33" s="1"/>
  <c r="HT25" i="33"/>
  <c r="HP102" i="33" s="1"/>
  <c r="HP25" i="33"/>
  <c r="HO25" i="33"/>
  <c r="HN25" i="33"/>
  <c r="AM25" i="33"/>
  <c r="AJ102" i="33" s="1"/>
  <c r="AL25" i="33"/>
  <c r="AH102" i="33" s="1"/>
  <c r="AH25" i="33"/>
  <c r="AG25" i="33"/>
  <c r="AF25" i="33"/>
  <c r="JY8" i="33"/>
  <c r="JU85" i="33" s="1"/>
  <c r="JZ8" i="33"/>
  <c r="JW85" i="33" s="1"/>
  <c r="JT8" i="33"/>
  <c r="JU8" i="33"/>
  <c r="JS8" i="33"/>
  <c r="IG8" i="33"/>
  <c r="IH8" i="33"/>
  <c r="II8" i="33"/>
  <c r="IN8" i="33"/>
  <c r="IK85" i="33" s="1"/>
  <c r="IM8" i="33"/>
  <c r="II85" i="33" s="1"/>
  <c r="FI24" i="33"/>
  <c r="FJ24" i="33"/>
  <c r="FK24" i="33"/>
  <c r="FP24" i="33"/>
  <c r="FM101" i="33" s="1"/>
  <c r="FO24" i="33"/>
  <c r="FK101" i="33" s="1"/>
  <c r="M24" i="33"/>
  <c r="O24" i="33"/>
  <c r="N24" i="33"/>
  <c r="S24" i="33"/>
  <c r="O101" i="33" s="1"/>
  <c r="T24" i="33"/>
  <c r="Q101" i="33" s="1"/>
  <c r="IM24" i="33"/>
  <c r="II101" i="33" s="1"/>
  <c r="IN24" i="33"/>
  <c r="IK101" i="33" s="1"/>
  <c r="II24" i="33"/>
  <c r="IH24" i="33"/>
  <c r="IG24" i="33"/>
  <c r="HP7" i="33"/>
  <c r="HN7" i="33"/>
  <c r="HO7" i="33"/>
  <c r="HU7" i="33"/>
  <c r="HR84" i="33" s="1"/>
  <c r="HT7" i="33"/>
  <c r="HP84" i="33" s="1"/>
  <c r="DK7" i="33"/>
  <c r="DH84" i="33" s="1"/>
  <c r="DJ7" i="33"/>
  <c r="DF84" i="33" s="1"/>
  <c r="DD7" i="33"/>
  <c r="DE7" i="33"/>
  <c r="DF7" i="33"/>
  <c r="AL7" i="33"/>
  <c r="AH84" i="33" s="1"/>
  <c r="AM7" i="33"/>
  <c r="AJ84" i="33" s="1"/>
  <c r="AF7" i="33"/>
  <c r="AG7" i="33"/>
  <c r="AH7" i="33"/>
  <c r="BT23" i="33"/>
  <c r="BS23" i="33"/>
  <c r="BR23" i="33"/>
  <c r="BY23" i="33"/>
  <c r="BV100" i="33" s="1"/>
  <c r="BX23" i="33"/>
  <c r="BT100" i="33" s="1"/>
  <c r="AH23" i="33"/>
  <c r="AF23" i="33"/>
  <c r="AG23" i="33"/>
  <c r="AL23" i="33"/>
  <c r="AH100" i="33" s="1"/>
  <c r="AM23" i="33"/>
  <c r="AJ100" i="33" s="1"/>
  <c r="KS23" i="33"/>
  <c r="KP100" i="33" s="1"/>
  <c r="KR23" i="33"/>
  <c r="KN100" i="33" s="1"/>
  <c r="KM23" i="33"/>
  <c r="KN23" i="33"/>
  <c r="KL23" i="33"/>
  <c r="JU6" i="33"/>
  <c r="JS6" i="33"/>
  <c r="JT6" i="33"/>
  <c r="JZ6" i="33"/>
  <c r="JW83" i="33" s="1"/>
  <c r="JY6" i="33"/>
  <c r="JU83" i="33" s="1"/>
  <c r="IM6" i="33"/>
  <c r="II83" i="33" s="1"/>
  <c r="IN6" i="33"/>
  <c r="IK83" i="33" s="1"/>
  <c r="IH6" i="33"/>
  <c r="IG6" i="33"/>
  <c r="II6" i="33"/>
  <c r="BA6" i="33"/>
  <c r="AY6" i="33"/>
  <c r="AZ6" i="33"/>
  <c r="BF6" i="33"/>
  <c r="BC83" i="33" s="1"/>
  <c r="BE6" i="33"/>
  <c r="BA83" i="33" s="1"/>
  <c r="CJ6" i="33"/>
  <c r="CH6" i="33"/>
  <c r="CI6" i="33"/>
  <c r="AD9" i="33"/>
  <c r="AE9" i="33"/>
  <c r="AC9" i="33"/>
  <c r="DD31" i="33"/>
  <c r="DE31" i="33"/>
  <c r="DF31" i="33"/>
  <c r="GS25" i="33"/>
  <c r="GT25" i="33"/>
  <c r="GR25" i="33"/>
  <c r="DE13" i="33"/>
  <c r="DD13" i="33"/>
  <c r="DF13" i="33"/>
  <c r="DI32" i="33"/>
  <c r="DG109" i="33" s="1"/>
  <c r="DH32" i="33"/>
  <c r="DE109" i="33" s="1"/>
  <c r="N15" i="33"/>
  <c r="O15" i="33"/>
  <c r="M15" i="33"/>
  <c r="ER25" i="33"/>
  <c r="EP25" i="33"/>
  <c r="EQ25" i="33"/>
  <c r="DV32" i="33"/>
  <c r="DU32" i="33"/>
  <c r="DT32" i="33"/>
  <c r="FJ32" i="33"/>
  <c r="FI32" i="33"/>
  <c r="FK32" i="33"/>
  <c r="JD26" i="33"/>
  <c r="JA103" i="33" s="1"/>
  <c r="JE26" i="33"/>
  <c r="JC103" i="33" s="1"/>
  <c r="EB32" i="33"/>
  <c r="DZ109" i="33" s="1"/>
  <c r="EA32" i="33"/>
  <c r="DX109" i="33" s="1"/>
  <c r="ME10" i="33"/>
  <c r="MB87" i="33" s="1"/>
  <c r="MD10" i="33"/>
  <c r="LZ87" i="33" s="1"/>
  <c r="JP31" i="33"/>
  <c r="JR31" i="33"/>
  <c r="JQ31" i="33"/>
  <c r="LG28" i="33"/>
  <c r="LF28" i="33"/>
  <c r="LE28" i="33"/>
  <c r="JW29" i="33"/>
  <c r="JT106" i="33" s="1"/>
  <c r="JX29" i="33"/>
  <c r="JV106" i="33" s="1"/>
  <c r="JQ11" i="33"/>
  <c r="JR11" i="33"/>
  <c r="JP11" i="33"/>
  <c r="EV27" i="33"/>
  <c r="ER104" i="33" s="1"/>
  <c r="EW27" i="33"/>
  <c r="ET104" i="33" s="1"/>
  <c r="FF15" i="33"/>
  <c r="FG15" i="33"/>
  <c r="FH15" i="33"/>
  <c r="IK32" i="33"/>
  <c r="IH109" i="33" s="1"/>
  <c r="IL32" i="33"/>
  <c r="IJ109" i="33" s="1"/>
  <c r="AY9" i="33"/>
  <c r="AZ9" i="33"/>
  <c r="BA9" i="33"/>
  <c r="GR7" i="33"/>
  <c r="GS7" i="33"/>
  <c r="GT7" i="33"/>
  <c r="ET10" i="33"/>
  <c r="EQ87" i="33" s="1"/>
  <c r="EU10" i="33"/>
  <c r="ES87" i="33" s="1"/>
  <c r="LC31" i="33"/>
  <c r="LB31" i="33"/>
  <c r="LD31" i="33"/>
  <c r="FM37" i="33"/>
  <c r="FJ114" i="33" s="1"/>
  <c r="FN37" i="33"/>
  <c r="FL114" i="33" s="1"/>
  <c r="LU11" i="33"/>
  <c r="LW11" i="33"/>
  <c r="LV11" i="33"/>
  <c r="IZ29" i="33"/>
  <c r="JA29" i="33"/>
  <c r="JB29" i="33"/>
  <c r="GA11" i="33"/>
  <c r="FZ11" i="33"/>
  <c r="FY11" i="33"/>
  <c r="DH14" i="33"/>
  <c r="DE91" i="33" s="1"/>
  <c r="DI14" i="33"/>
  <c r="DG91" i="33" s="1"/>
  <c r="BV18" i="33"/>
  <c r="BS95" i="33" s="1"/>
  <c r="BW18" i="33"/>
  <c r="BU95" i="33" s="1"/>
  <c r="ER9" i="33"/>
  <c r="EP9" i="33"/>
  <c r="EQ9" i="33"/>
  <c r="CM31" i="33"/>
  <c r="CL31" i="33"/>
  <c r="CK31" i="33"/>
  <c r="CO6" i="33"/>
  <c r="CL83" i="33" s="1"/>
  <c r="CP6" i="33"/>
  <c r="CN83" i="33" s="1"/>
  <c r="FP32" i="33"/>
  <c r="FM109" i="33" s="1"/>
  <c r="FO32" i="33"/>
  <c r="FK109" i="33" s="1"/>
  <c r="DE19" i="33"/>
  <c r="DF19" i="33"/>
  <c r="DD19" i="33"/>
  <c r="LG10" i="33"/>
  <c r="LE10" i="33"/>
  <c r="LF10" i="33"/>
  <c r="LI11" i="33"/>
  <c r="LF88" i="33" s="1"/>
  <c r="LJ11" i="33"/>
  <c r="LH88" i="33" s="1"/>
  <c r="EO8" i="33"/>
  <c r="EM8" i="33"/>
  <c r="EN8" i="33"/>
  <c r="CO12" i="33"/>
  <c r="CL89" i="33" s="1"/>
  <c r="CP12" i="33"/>
  <c r="CN89" i="33" s="1"/>
  <c r="GG9" i="33"/>
  <c r="GE86" i="33" s="1"/>
  <c r="GF9" i="33"/>
  <c r="GC86" i="33" s="1"/>
  <c r="LV37" i="33"/>
  <c r="LU37" i="33"/>
  <c r="LW37" i="33"/>
  <c r="LL32" i="33"/>
  <c r="LI109" i="33" s="1"/>
  <c r="LK32" i="33"/>
  <c r="LG109" i="33" s="1"/>
  <c r="KL32" i="33"/>
  <c r="KN32" i="33"/>
  <c r="KM32" i="33"/>
  <c r="DK31" i="33"/>
  <c r="DH108" i="33" s="1"/>
  <c r="DJ31" i="33"/>
  <c r="DF108" i="33" s="1"/>
  <c r="IW26" i="33"/>
  <c r="IX26" i="33"/>
  <c r="IY26" i="33"/>
  <c r="MD34" i="33"/>
  <c r="LZ111" i="33" s="1"/>
  <c r="ME34" i="33"/>
  <c r="MB111" i="33" s="1"/>
  <c r="BE9" i="33"/>
  <c r="BA86" i="33" s="1"/>
  <c r="BF9" i="33"/>
  <c r="BC86" i="33" s="1"/>
  <c r="DB32" i="33"/>
  <c r="DA32" i="33"/>
  <c r="DC32" i="33"/>
  <c r="CI24" i="33"/>
  <c r="CJ24" i="33"/>
  <c r="CH24" i="33"/>
  <c r="ME32" i="33"/>
  <c r="MB109" i="33" s="1"/>
  <c r="MD32" i="33"/>
  <c r="LZ109" i="33" s="1"/>
  <c r="BS35" i="33"/>
  <c r="BR35" i="33"/>
  <c r="BT35" i="33"/>
  <c r="FN33" i="33"/>
  <c r="FL110" i="33" s="1"/>
  <c r="FM33" i="33"/>
  <c r="FJ110" i="33" s="1"/>
  <c r="AV24" i="33"/>
  <c r="AW24" i="33"/>
  <c r="AX24" i="33"/>
  <c r="LK14" i="33"/>
  <c r="LG91" i="33" s="1"/>
  <c r="LL14" i="33"/>
  <c r="LI91" i="33" s="1"/>
  <c r="LX28" i="33"/>
  <c r="LZ28" i="33"/>
  <c r="LY28" i="33"/>
  <c r="IK30" i="33"/>
  <c r="IH107" i="33" s="1"/>
  <c r="IL30" i="33"/>
  <c r="IJ107" i="33" s="1"/>
  <c r="MC31" i="33"/>
  <c r="MA108" i="33" s="1"/>
  <c r="MB31" i="33"/>
  <c r="LY108" i="33" s="1"/>
  <c r="EP7" i="33"/>
  <c r="EQ7" i="33"/>
  <c r="ER7" i="33"/>
  <c r="IW10" i="33"/>
  <c r="IX10" i="33"/>
  <c r="IY10" i="33"/>
  <c r="LD23" i="33"/>
  <c r="LC23" i="33"/>
  <c r="LB23" i="33"/>
  <c r="LZ26" i="33"/>
  <c r="LX26" i="33"/>
  <c r="LY26" i="33"/>
  <c r="EV7" i="33"/>
  <c r="ER84" i="33" s="1"/>
  <c r="EW7" i="33"/>
  <c r="ET84" i="33" s="1"/>
  <c r="JZ28" i="33"/>
  <c r="JW105" i="33" s="1"/>
  <c r="JY28" i="33"/>
  <c r="JU105" i="33" s="1"/>
  <c r="AY25" i="33"/>
  <c r="AZ25" i="33"/>
  <c r="BA25" i="33"/>
  <c r="KP13" i="33"/>
  <c r="KM90" i="33" s="1"/>
  <c r="KQ13" i="33"/>
  <c r="KO90" i="33" s="1"/>
  <c r="CR25" i="33"/>
  <c r="CO102" i="33" s="1"/>
  <c r="CQ25" i="33"/>
  <c r="CM102" i="33" s="1"/>
  <c r="IK16" i="33"/>
  <c r="IH93" i="33" s="1"/>
  <c r="IL16" i="33"/>
  <c r="IJ93" i="33" s="1"/>
  <c r="MC37" i="33"/>
  <c r="MA114" i="33" s="1"/>
  <c r="MB37" i="33"/>
  <c r="LY114" i="33" s="1"/>
  <c r="FG17" i="33"/>
  <c r="FH17" i="33"/>
  <c r="FF17" i="33"/>
  <c r="LZ36" i="33"/>
  <c r="LX36" i="33"/>
  <c r="LY36" i="33"/>
  <c r="FP14" i="33"/>
  <c r="FM91" i="33" s="1"/>
  <c r="FO14" i="33"/>
  <c r="FK91" i="33" s="1"/>
  <c r="LG26" i="33"/>
  <c r="LE26" i="33"/>
  <c r="LF26" i="33"/>
  <c r="LY16" i="33"/>
  <c r="LZ16" i="33"/>
  <c r="LX16" i="33"/>
  <c r="LZ32" i="33"/>
  <c r="LY32" i="33"/>
  <c r="LX32" i="33"/>
  <c r="JA7" i="33"/>
  <c r="JB7" i="33"/>
  <c r="IZ7" i="33"/>
  <c r="GV24" i="33"/>
  <c r="GW24" i="33"/>
  <c r="GU24" i="33"/>
  <c r="BX33" i="33"/>
  <c r="BT110" i="33" s="1"/>
  <c r="BY33" i="33"/>
  <c r="BV110" i="33" s="1"/>
  <c r="LU13" i="33"/>
  <c r="LV13" i="33"/>
  <c r="LW13" i="33"/>
  <c r="IE14" i="33"/>
  <c r="IF14" i="33"/>
  <c r="ID14" i="33"/>
  <c r="LW33" i="33"/>
  <c r="LU33" i="33"/>
  <c r="LV33" i="33"/>
  <c r="LL18" i="33"/>
  <c r="LI95" i="33" s="1"/>
  <c r="LK18" i="33"/>
  <c r="LG95" i="33" s="1"/>
  <c r="LL30" i="33"/>
  <c r="LI107" i="33" s="1"/>
  <c r="LK30" i="33"/>
  <c r="LG107" i="33" s="1"/>
  <c r="JS12" i="33"/>
  <c r="JU12" i="33"/>
  <c r="JT12" i="33"/>
  <c r="II17" i="33"/>
  <c r="IG17" i="33"/>
  <c r="IH17" i="33"/>
  <c r="GH26" i="33"/>
  <c r="GD103" i="33" s="1"/>
  <c r="GI26" i="33"/>
  <c r="GF103" i="33" s="1"/>
  <c r="LC27" i="33"/>
  <c r="LB27" i="33"/>
  <c r="LD27" i="33"/>
  <c r="EC35" i="33"/>
  <c r="DY112" i="33" s="1"/>
  <c r="ED35" i="33"/>
  <c r="EA112" i="33" s="1"/>
  <c r="MC7" i="33"/>
  <c r="MA84" i="33" s="1"/>
  <c r="MB7" i="33"/>
  <c r="LY84" i="33" s="1"/>
  <c r="FH37" i="33"/>
  <c r="FF37" i="33"/>
  <c r="FG37" i="33"/>
  <c r="DD17" i="33"/>
  <c r="DE17" i="33"/>
  <c r="DF17" i="33"/>
  <c r="FJ14" i="33"/>
  <c r="FI14" i="33"/>
  <c r="FK14" i="33"/>
  <c r="FO36" i="33"/>
  <c r="FK113" i="33" s="1"/>
  <c r="FP36" i="33"/>
  <c r="FM113" i="33" s="1"/>
  <c r="FN31" i="33"/>
  <c r="FL108" i="33" s="1"/>
  <c r="FM31" i="33"/>
  <c r="FJ108" i="33" s="1"/>
  <c r="IX8" i="33"/>
  <c r="IY8" i="33"/>
  <c r="IW8" i="33"/>
  <c r="KJ31" i="33"/>
  <c r="KI31" i="33"/>
  <c r="KK31" i="33"/>
  <c r="FZ9" i="33"/>
  <c r="FY9" i="33"/>
  <c r="GA9" i="33"/>
  <c r="AV26" i="33"/>
  <c r="AW26" i="33"/>
  <c r="AX26" i="33"/>
  <c r="CO10" i="33"/>
  <c r="CL87" i="33" s="1"/>
  <c r="CP10" i="33"/>
  <c r="CN87" i="33" s="1"/>
  <c r="LZ8" i="33"/>
  <c r="LX8" i="33"/>
  <c r="LY8" i="33"/>
  <c r="LW15" i="33"/>
  <c r="LU15" i="33"/>
  <c r="LV15" i="33"/>
  <c r="CQ29" i="33"/>
  <c r="CM106" i="33" s="1"/>
  <c r="CR29" i="33"/>
  <c r="CO106" i="33" s="1"/>
  <c r="LJ29" i="33"/>
  <c r="LH106" i="33" s="1"/>
  <c r="LI29" i="33"/>
  <c r="LF106" i="33" s="1"/>
  <c r="JF7" i="33"/>
  <c r="JB84" i="33" s="1"/>
  <c r="JG7" i="33"/>
  <c r="JD84" i="33" s="1"/>
  <c r="LZ30" i="33"/>
  <c r="LY30" i="33"/>
  <c r="LX30" i="33"/>
  <c r="LV25" i="33"/>
  <c r="LW25" i="33"/>
  <c r="LU25" i="33"/>
  <c r="DA34" i="33"/>
  <c r="DC34" i="33"/>
  <c r="DB34" i="33"/>
  <c r="DX35" i="33"/>
  <c r="DY35" i="33"/>
  <c r="DW35" i="33"/>
  <c r="BO18" i="33"/>
  <c r="BP18" i="33"/>
  <c r="BQ18" i="33"/>
  <c r="ME18" i="33"/>
  <c r="MB95" i="33" s="1"/>
  <c r="MD18" i="33"/>
  <c r="LZ95" i="33" s="1"/>
  <c r="DH12" i="33"/>
  <c r="DE89" i="33" s="1"/>
  <c r="DI12" i="33"/>
  <c r="DG89" i="33" s="1"/>
  <c r="ME14" i="33"/>
  <c r="MB91" i="33" s="1"/>
  <c r="MD14" i="33"/>
  <c r="LZ91" i="33" s="1"/>
  <c r="JF13" i="33"/>
  <c r="JB90" i="33" s="1"/>
  <c r="JG13" i="33"/>
  <c r="JD90" i="33" s="1"/>
  <c r="FM15" i="33"/>
  <c r="FJ92" i="33" s="1"/>
  <c r="FN15" i="33"/>
  <c r="FL92" i="33" s="1"/>
  <c r="ID32" i="33"/>
  <c r="IE32" i="33"/>
  <c r="IF32" i="33"/>
  <c r="IG19" i="33"/>
  <c r="IH19" i="33"/>
  <c r="II19" i="33"/>
  <c r="IN33" i="33"/>
  <c r="IK110" i="33" s="1"/>
  <c r="IM33" i="33"/>
  <c r="II110" i="33" s="1"/>
  <c r="IN19" i="33"/>
  <c r="IK96" i="33" s="1"/>
  <c r="IM19" i="33"/>
  <c r="II96" i="33" s="1"/>
  <c r="JE10" i="33"/>
  <c r="JC87" i="33" s="1"/>
  <c r="JD10" i="33"/>
  <c r="JA87" i="33" s="1"/>
  <c r="FJ20" i="33"/>
  <c r="FI20" i="33"/>
  <c r="FK20" i="33"/>
  <c r="IK34" i="33"/>
  <c r="IH111" i="33" s="1"/>
  <c r="IL34" i="33"/>
  <c r="IJ111" i="33" s="1"/>
  <c r="EW25" i="33"/>
  <c r="ET102" i="33" s="1"/>
  <c r="EV25" i="33"/>
  <c r="ER102" i="33" s="1"/>
  <c r="JA13" i="33"/>
  <c r="JB13" i="33"/>
  <c r="IZ13" i="33"/>
  <c r="ET24" i="33"/>
  <c r="EQ101" i="33" s="1"/>
  <c r="EU24" i="33"/>
  <c r="ES101" i="33" s="1"/>
  <c r="HA8" i="33"/>
  <c r="GW85" i="33" s="1"/>
  <c r="HB8" i="33"/>
  <c r="GY85" i="33" s="1"/>
  <c r="JZ12" i="33"/>
  <c r="JW89" i="33" s="1"/>
  <c r="JY12" i="33"/>
  <c r="JU89" i="33" s="1"/>
  <c r="KR14" i="33"/>
  <c r="KN91" i="33" s="1"/>
  <c r="KS14" i="33"/>
  <c r="KP91" i="33" s="1"/>
  <c r="IH33" i="33"/>
  <c r="II33" i="33"/>
  <c r="IG33" i="33"/>
  <c r="LG12" i="33"/>
  <c r="LF12" i="33"/>
  <c r="LE12" i="33"/>
  <c r="DB18" i="33"/>
  <c r="DA18" i="33"/>
  <c r="DC18" i="33"/>
  <c r="JU30" i="33"/>
  <c r="JS30" i="33"/>
  <c r="JT30" i="33"/>
  <c r="CP30" i="33"/>
  <c r="CN107" i="33" s="1"/>
  <c r="CO30" i="33"/>
  <c r="CL107" i="33" s="1"/>
  <c r="KM14" i="33"/>
  <c r="KN14" i="33"/>
  <c r="KL14" i="33"/>
  <c r="EC31" i="33"/>
  <c r="DY108" i="33" s="1"/>
  <c r="ED31" i="33"/>
  <c r="EA108" i="33" s="1"/>
  <c r="IF20" i="33"/>
  <c r="IE20" i="33"/>
  <c r="ID20" i="33"/>
  <c r="LB33" i="33"/>
  <c r="LD33" i="33"/>
  <c r="LC33" i="33"/>
  <c r="FZ25" i="33"/>
  <c r="GA25" i="33"/>
  <c r="FY25" i="33"/>
  <c r="DK33" i="33"/>
  <c r="DH110" i="33" s="1"/>
  <c r="DJ33" i="33"/>
  <c r="DF110" i="33" s="1"/>
  <c r="JY32" i="33"/>
  <c r="JU109" i="33" s="1"/>
  <c r="JZ32" i="33"/>
  <c r="JW109" i="33" s="1"/>
  <c r="ME12" i="33"/>
  <c r="MB89" i="33" s="1"/>
  <c r="MD12" i="33"/>
  <c r="LZ89" i="33" s="1"/>
  <c r="T33" i="33"/>
  <c r="Q110" i="33" s="1"/>
  <c r="S33" i="33"/>
  <c r="O110" i="33" s="1"/>
  <c r="DJ19" i="33"/>
  <c r="DF96" i="33" s="1"/>
  <c r="DK19" i="33"/>
  <c r="DH96" i="33" s="1"/>
  <c r="DH30" i="33"/>
  <c r="DE107" i="33" s="1"/>
  <c r="DI30" i="33"/>
  <c r="DG107" i="33" s="1"/>
  <c r="EU6" i="33"/>
  <c r="ES83" i="33" s="1"/>
  <c r="ET6" i="33"/>
  <c r="EQ83" i="33" s="1"/>
  <c r="GB8" i="33"/>
  <c r="GD8" i="33"/>
  <c r="GC8" i="33"/>
  <c r="CM23" i="33"/>
  <c r="CL23" i="33"/>
  <c r="CK23" i="33"/>
  <c r="FM19" i="33"/>
  <c r="FJ96" i="33" s="1"/>
  <c r="FN19" i="33"/>
  <c r="FL96" i="33" s="1"/>
  <c r="S15" i="33"/>
  <c r="O92" i="33" s="1"/>
  <c r="T15" i="33"/>
  <c r="Q92" i="33" s="1"/>
  <c r="BY17" i="33"/>
  <c r="BV94" i="33" s="1"/>
  <c r="BX17" i="33"/>
  <c r="BT94" i="33" s="1"/>
  <c r="LG30" i="33"/>
  <c r="LF30" i="33"/>
  <c r="LE30" i="33"/>
  <c r="KJ33" i="33"/>
  <c r="KK33" i="33"/>
  <c r="KI33" i="33"/>
  <c r="DH20" i="33"/>
  <c r="DE97" i="33" s="1"/>
  <c r="DI20" i="33"/>
  <c r="DG97" i="33" s="1"/>
  <c r="LJ9" i="33"/>
  <c r="LH86" i="33" s="1"/>
  <c r="LI9" i="33"/>
  <c r="LF86" i="33" s="1"/>
  <c r="CO26" i="33"/>
  <c r="CL103" i="33" s="1"/>
  <c r="CP26" i="33"/>
  <c r="CN103" i="33" s="1"/>
  <c r="LI23" i="33"/>
  <c r="LF100" i="33" s="1"/>
  <c r="LJ23" i="33"/>
  <c r="LH100" i="33" s="1"/>
  <c r="IX14" i="33"/>
  <c r="IW14" i="33"/>
  <c r="IY14" i="33"/>
  <c r="Q16" i="33"/>
  <c r="N93" i="33" s="1"/>
  <c r="R16" i="33"/>
  <c r="P93" i="33" s="1"/>
  <c r="IZ25" i="33"/>
  <c r="JA25" i="33"/>
  <c r="JB25" i="33"/>
  <c r="LY12" i="33"/>
  <c r="LX12" i="33"/>
  <c r="LZ12" i="33"/>
  <c r="DW29" i="33"/>
  <c r="DX29" i="33"/>
  <c r="DY29" i="33"/>
  <c r="JW11" i="33"/>
  <c r="JT88" i="33" s="1"/>
  <c r="JX11" i="33"/>
  <c r="JV88" i="33" s="1"/>
  <c r="CJ30" i="33"/>
  <c r="CI30" i="33"/>
  <c r="CH30" i="33"/>
  <c r="FP20" i="33"/>
  <c r="FM97" i="33" s="1"/>
  <c r="FO20" i="33"/>
  <c r="FK97" i="33" s="1"/>
  <c r="JD8" i="33"/>
  <c r="JA85" i="33" s="1"/>
  <c r="JE8" i="33"/>
  <c r="JC85" i="33" s="1"/>
  <c r="FH19" i="33"/>
  <c r="FG19" i="33"/>
  <c r="FF19" i="33"/>
  <c r="IG35" i="33"/>
  <c r="II35" i="33"/>
  <c r="IH35" i="33"/>
  <c r="AX8" i="33"/>
  <c r="AW8" i="33"/>
  <c r="AV8" i="33"/>
  <c r="DW33" i="33"/>
  <c r="DX33" i="33"/>
  <c r="DY33" i="33"/>
  <c r="IL14" i="33"/>
  <c r="IJ91" i="33" s="1"/>
  <c r="IK14" i="33"/>
  <c r="IH91" i="33" s="1"/>
  <c r="GB28" i="33"/>
  <c r="GD28" i="33"/>
  <c r="GC28" i="33"/>
  <c r="MC25" i="33"/>
  <c r="MA102" i="33" s="1"/>
  <c r="MB25" i="33"/>
  <c r="LY102" i="33" s="1"/>
  <c r="KL16" i="33"/>
  <c r="KN16" i="33"/>
  <c r="KM16" i="33"/>
  <c r="GI28" i="33"/>
  <c r="GF105" i="33" s="1"/>
  <c r="GH28" i="33"/>
  <c r="GD105" i="33" s="1"/>
  <c r="CL11" i="33"/>
  <c r="CM11" i="33"/>
  <c r="CK11" i="33"/>
  <c r="LF16" i="33"/>
  <c r="LG16" i="33"/>
  <c r="LE16" i="33"/>
  <c r="JX31" i="33"/>
  <c r="JV108" i="33" s="1"/>
  <c r="JW31" i="33"/>
  <c r="JT108" i="33" s="1"/>
  <c r="EW9" i="33"/>
  <c r="ET86" i="33" s="1"/>
  <c r="EV9" i="33"/>
  <c r="ER86" i="33" s="1"/>
  <c r="KI13" i="33"/>
  <c r="KK13" i="33"/>
  <c r="KJ13" i="33"/>
  <c r="J16" i="33"/>
  <c r="K16" i="33"/>
  <c r="L16" i="33"/>
  <c r="BD24" i="33"/>
  <c r="BB101" i="33" s="1"/>
  <c r="BC24" i="33"/>
  <c r="AZ101" i="33" s="1"/>
  <c r="EN10" i="33"/>
  <c r="EO10" i="33"/>
  <c r="EM10" i="33"/>
  <c r="BT33" i="33"/>
  <c r="BS33" i="33"/>
  <c r="BR33" i="33"/>
  <c r="GH8" i="33"/>
  <c r="GD85" i="33" s="1"/>
  <c r="GI8" i="33"/>
  <c r="GF85" i="33" s="1"/>
  <c r="GA27" i="33"/>
  <c r="FY27" i="33"/>
  <c r="FZ27" i="33"/>
  <c r="IL36" i="33"/>
  <c r="IJ113" i="33" s="1"/>
  <c r="IK36" i="33"/>
  <c r="IH113" i="33" s="1"/>
  <c r="IF36" i="33"/>
  <c r="IE36" i="33"/>
  <c r="ID36" i="33"/>
  <c r="MB35" i="33"/>
  <c r="LY112" i="33" s="1"/>
  <c r="MC35" i="33"/>
  <c r="MA112" i="33" s="1"/>
  <c r="CR7" i="33"/>
  <c r="CO84" i="33" s="1"/>
  <c r="CQ7" i="33"/>
  <c r="CM84" i="33" s="1"/>
  <c r="LV27" i="33"/>
  <c r="LW27" i="33"/>
  <c r="LU27" i="33"/>
  <c r="MB19" i="33"/>
  <c r="LY96" i="33" s="1"/>
  <c r="MC19" i="33"/>
  <c r="MA96" i="33" s="1"/>
  <c r="ED15" i="33"/>
  <c r="EA92" i="33" s="1"/>
  <c r="EC15" i="33"/>
  <c r="DY92" i="33" s="1"/>
  <c r="EN24" i="33"/>
  <c r="EO24" i="33"/>
  <c r="EM24" i="33"/>
  <c r="IH31" i="33"/>
  <c r="II31" i="33"/>
  <c r="IG31" i="33"/>
  <c r="IM15" i="33"/>
  <c r="II92" i="33" s="1"/>
  <c r="IN15" i="33"/>
  <c r="IK92" i="33" s="1"/>
  <c r="CP8" i="33"/>
  <c r="CN85" i="33" s="1"/>
  <c r="CO8" i="33"/>
  <c r="CL85" i="33" s="1"/>
  <c r="GF7" i="33"/>
  <c r="GC84" i="33" s="1"/>
  <c r="GG7" i="33"/>
  <c r="GE84" i="33" s="1"/>
  <c r="MB13" i="33"/>
  <c r="LY90" i="33" s="1"/>
  <c r="MC13" i="33"/>
  <c r="MA90" i="33" s="1"/>
  <c r="DC36" i="33"/>
  <c r="DA36" i="33"/>
  <c r="DB36" i="33"/>
  <c r="BO16" i="33"/>
  <c r="BP16" i="33"/>
  <c r="BQ16" i="33"/>
  <c r="IN35" i="33"/>
  <c r="IK112" i="33" s="1"/>
  <c r="IM35" i="33"/>
  <c r="II112" i="33" s="1"/>
  <c r="EO6" i="33"/>
  <c r="EM6" i="33"/>
  <c r="EN6" i="33"/>
  <c r="MD16" i="33"/>
  <c r="LZ93" i="33" s="1"/>
  <c r="ME16" i="33"/>
  <c r="MB93" i="33" s="1"/>
  <c r="CJ12" i="33"/>
  <c r="CI12" i="33"/>
  <c r="CH12" i="33"/>
  <c r="LU19" i="33"/>
  <c r="LW19" i="33"/>
  <c r="LV19" i="33"/>
  <c r="BO32" i="33"/>
  <c r="BP32" i="33"/>
  <c r="BQ32" i="33"/>
  <c r="DV16" i="33"/>
  <c r="DU16" i="33"/>
  <c r="DT16" i="33"/>
  <c r="DJ13" i="33"/>
  <c r="DF90" i="33" s="1"/>
  <c r="DK13" i="33"/>
  <c r="DH90" i="33" s="1"/>
  <c r="IF30" i="33"/>
  <c r="ID30" i="33"/>
  <c r="IE30" i="33"/>
  <c r="EA16" i="33"/>
  <c r="DX93" i="33" s="1"/>
  <c r="EB16" i="33"/>
  <c r="DZ93" i="33" s="1"/>
  <c r="BV16" i="33"/>
  <c r="BS93" i="33" s="1"/>
  <c r="BW16" i="33"/>
  <c r="BU93" i="33" s="1"/>
  <c r="HR33" i="33"/>
  <c r="HO110" i="33" s="1"/>
  <c r="HS33" i="33"/>
  <c r="HQ110" i="33" s="1"/>
  <c r="JY30" i="33"/>
  <c r="JU107" i="33" s="1"/>
  <c r="JZ30" i="33"/>
  <c r="JW107" i="33" s="1"/>
  <c r="AM26" i="33"/>
  <c r="AJ103" i="33" s="1"/>
  <c r="AL26" i="33"/>
  <c r="AH103" i="33" s="1"/>
  <c r="HT16" i="33"/>
  <c r="HP93" i="33" s="1"/>
  <c r="HU16" i="33"/>
  <c r="HR93" i="33" s="1"/>
  <c r="DB30" i="33"/>
  <c r="DA30" i="33"/>
  <c r="DC30" i="33"/>
  <c r="CJ28" i="33"/>
  <c r="CH28" i="33"/>
  <c r="CI28" i="33"/>
  <c r="EP11" i="33"/>
  <c r="ER11" i="33"/>
  <c r="EQ11" i="33"/>
  <c r="JX15" i="33"/>
  <c r="JV92" i="33" s="1"/>
  <c r="JW15" i="33"/>
  <c r="JT92" i="33" s="1"/>
  <c r="LF18" i="33"/>
  <c r="LE18" i="33"/>
  <c r="LG18" i="33"/>
  <c r="JB11" i="33"/>
  <c r="JA11" i="33"/>
  <c r="IZ11" i="33"/>
  <c r="FP18" i="33"/>
  <c r="FM95" i="33" s="1"/>
  <c r="FO18" i="33"/>
  <c r="FK95" i="33" s="1"/>
  <c r="LL8" i="33"/>
  <c r="LI85" i="33" s="1"/>
  <c r="LK8" i="33"/>
  <c r="LG85" i="33" s="1"/>
  <c r="LF14" i="33"/>
  <c r="LG14" i="33"/>
  <c r="LE14" i="33"/>
  <c r="JG27" i="33"/>
  <c r="JD104" i="33" s="1"/>
  <c r="JF27" i="33"/>
  <c r="JB104" i="33" s="1"/>
  <c r="CH26" i="33"/>
  <c r="CI26" i="33"/>
  <c r="CJ26" i="33"/>
  <c r="KP15" i="33"/>
  <c r="KM92" i="33" s="1"/>
  <c r="KQ15" i="33"/>
  <c r="KO92" i="33" s="1"/>
  <c r="GI24" i="33"/>
  <c r="GF101" i="33" s="1"/>
  <c r="GH24" i="33"/>
  <c r="GD101" i="33" s="1"/>
  <c r="GF13" i="33"/>
  <c r="GC90" i="33" s="1"/>
  <c r="GG13" i="33"/>
  <c r="GE90" i="33" s="1"/>
  <c r="ME36" i="33"/>
  <c r="MB113" i="33" s="1"/>
  <c r="MD36" i="33"/>
  <c r="LZ113" i="33" s="1"/>
  <c r="DH34" i="33"/>
  <c r="DE111" i="33" s="1"/>
  <c r="DI34" i="33"/>
  <c r="DG111" i="33" s="1"/>
  <c r="JE14" i="33"/>
  <c r="JC91" i="33" s="1"/>
  <c r="JD14" i="33"/>
  <c r="JA91" i="33" s="1"/>
  <c r="KS34" i="33"/>
  <c r="KP111" i="33" s="1"/>
  <c r="KR34" i="33"/>
  <c r="KN111" i="33" s="1"/>
  <c r="DA12" i="33"/>
  <c r="DC12" i="33"/>
  <c r="DB12" i="33"/>
  <c r="IM17" i="33"/>
  <c r="II94" i="33" s="1"/>
  <c r="IN17" i="33"/>
  <c r="IK94" i="33" s="1"/>
  <c r="KQ17" i="33"/>
  <c r="KO94" i="33" s="1"/>
  <c r="KP17" i="33"/>
  <c r="KM94" i="33" s="1"/>
  <c r="KS30" i="33"/>
  <c r="KP107" i="33" s="1"/>
  <c r="KR30" i="33"/>
  <c r="KN107" i="33" s="1"/>
  <c r="GD12" i="33"/>
  <c r="GC12" i="33"/>
  <c r="GB12" i="33"/>
  <c r="DF11" i="33"/>
  <c r="DE11" i="33"/>
  <c r="DD11" i="33"/>
  <c r="LC35" i="33"/>
  <c r="LB35" i="33"/>
  <c r="LD35" i="33"/>
  <c r="CR27" i="33"/>
  <c r="CO104" i="33" s="1"/>
  <c r="CQ27" i="33"/>
  <c r="CM104" i="33" s="1"/>
  <c r="MC17" i="33"/>
  <c r="MA94" i="33" s="1"/>
  <c r="MB17" i="33"/>
  <c r="LY94" i="33" s="1"/>
  <c r="LU7" i="33"/>
  <c r="LV7" i="33"/>
  <c r="LW7" i="33"/>
  <c r="BC8" i="33"/>
  <c r="AZ85" i="33" s="1"/>
  <c r="BD8" i="33"/>
  <c r="BB85" i="33" s="1"/>
  <c r="EW11" i="33"/>
  <c r="ET88" i="33" s="1"/>
  <c r="EV11" i="33"/>
  <c r="ER88" i="33" s="1"/>
  <c r="LC15" i="33"/>
  <c r="LB15" i="33"/>
  <c r="LD15" i="33"/>
  <c r="DT14" i="33"/>
  <c r="DV14" i="33"/>
  <c r="DU14" i="33"/>
  <c r="IG37" i="33"/>
  <c r="IH37" i="33"/>
  <c r="II37" i="33"/>
  <c r="EQ27" i="33"/>
  <c r="ER27" i="33"/>
  <c r="EP27" i="33"/>
  <c r="GG11" i="33"/>
  <c r="GE88" i="33" s="1"/>
  <c r="GF11" i="33"/>
  <c r="GC88" i="33" s="1"/>
  <c r="KM30" i="33"/>
  <c r="KN30" i="33"/>
  <c r="KL30" i="33"/>
  <c r="GY7" i="33"/>
  <c r="GV84" i="33" s="1"/>
  <c r="GZ7" i="33"/>
  <c r="GX84" i="33" s="1"/>
  <c r="BD26" i="33"/>
  <c r="BB103" i="33" s="1"/>
  <c r="BC26" i="33"/>
  <c r="AZ103" i="33" s="1"/>
  <c r="LB25" i="33"/>
  <c r="LD25" i="33"/>
  <c r="LC25" i="33"/>
  <c r="GH12" i="33"/>
  <c r="GD89" i="33" s="1"/>
  <c r="GI12" i="33"/>
  <c r="GF89" i="33" s="1"/>
  <c r="EC13" i="33"/>
  <c r="DY90" i="33" s="1"/>
  <c r="ED13" i="33"/>
  <c r="EA90" i="33" s="1"/>
  <c r="JF31" i="33"/>
  <c r="JB108" i="33" s="1"/>
  <c r="JG31" i="33"/>
  <c r="JD108" i="33" s="1"/>
  <c r="BY35" i="33"/>
  <c r="BV112" i="33" s="1"/>
  <c r="BX35" i="33"/>
  <c r="BT112" i="33" s="1"/>
  <c r="GA7" i="33"/>
  <c r="FY7" i="33"/>
  <c r="FZ7" i="33"/>
  <c r="JP29" i="33"/>
  <c r="JR29" i="33"/>
  <c r="JQ29" i="33"/>
  <c r="LK16" i="33"/>
  <c r="LG93" i="33" s="1"/>
  <c r="LL16" i="33"/>
  <c r="LI93" i="33" s="1"/>
  <c r="KM18" i="33"/>
  <c r="KL18" i="33"/>
  <c r="KN18" i="33"/>
  <c r="DU30" i="33"/>
  <c r="DV30" i="33"/>
  <c r="DT30" i="33"/>
  <c r="KJ15" i="33"/>
  <c r="KI15" i="33"/>
  <c r="KK15" i="33"/>
  <c r="MD8" i="33"/>
  <c r="LZ85" i="33" s="1"/>
  <c r="ME8" i="33"/>
  <c r="MB85" i="33" s="1"/>
  <c r="IF16" i="33"/>
  <c r="ID16" i="33"/>
  <c r="IE16" i="33"/>
  <c r="HK33" i="33"/>
  <c r="HL33" i="33"/>
  <c r="HM33" i="33"/>
  <c r="EN28" i="33"/>
  <c r="EM28" i="33"/>
  <c r="EO28" i="33"/>
  <c r="IM13" i="33"/>
  <c r="II90" i="33" s="1"/>
  <c r="IN13" i="33"/>
  <c r="IK90" i="33" s="1"/>
  <c r="GA29" i="33"/>
  <c r="FZ29" i="33"/>
  <c r="FY29" i="33"/>
  <c r="JG11" i="33"/>
  <c r="JD88" i="33" s="1"/>
  <c r="JF11" i="33"/>
  <c r="JB88" i="33" s="1"/>
  <c r="LB29" i="33"/>
  <c r="LC29" i="33"/>
  <c r="LD29" i="33"/>
  <c r="IM31" i="33"/>
  <c r="II108" i="33" s="1"/>
  <c r="IN31" i="33"/>
  <c r="IK108" i="33" s="1"/>
  <c r="DH18" i="33"/>
  <c r="DE95" i="33" s="1"/>
  <c r="DI18" i="33"/>
  <c r="DG95" i="33" s="1"/>
  <c r="BE25" i="33"/>
  <c r="BA102" i="33" s="1"/>
  <c r="BF25" i="33"/>
  <c r="BC102" i="33" s="1"/>
  <c r="LC9" i="33"/>
  <c r="LD9" i="33"/>
  <c r="LB9" i="33"/>
  <c r="AK9" i="33"/>
  <c r="AI86" i="33" s="1"/>
  <c r="AJ9" i="33"/>
  <c r="AG86" i="33" s="1"/>
  <c r="JP15" i="33"/>
  <c r="JR15" i="33"/>
  <c r="JQ15" i="33"/>
  <c r="EB12" i="33"/>
  <c r="DZ89" i="33" s="1"/>
  <c r="EA12" i="33"/>
  <c r="DX89" i="33" s="1"/>
  <c r="IH15" i="33"/>
  <c r="II15" i="33"/>
  <c r="IG15" i="33"/>
  <c r="LG8" i="33"/>
  <c r="LE8" i="33"/>
  <c r="LF8" i="33"/>
  <c r="KQ35" i="33"/>
  <c r="KO112" i="33" s="1"/>
  <c r="KP35" i="33"/>
  <c r="KM112" i="33" s="1"/>
  <c r="GD10" i="33"/>
  <c r="GB10" i="33"/>
  <c r="GC10" i="33"/>
  <c r="GW8" i="33"/>
  <c r="GU8" i="33"/>
  <c r="GV8" i="33"/>
  <c r="FG33" i="33"/>
  <c r="FH33" i="33"/>
  <c r="FF33" i="33"/>
  <c r="GG25" i="33"/>
  <c r="GE102" i="33" s="1"/>
  <c r="GF25" i="33"/>
  <c r="GC102" i="33" s="1"/>
  <c r="MC33" i="33"/>
  <c r="MA110" i="33" s="1"/>
  <c r="MB33" i="33"/>
  <c r="LY110" i="33" s="1"/>
  <c r="GB26" i="33"/>
  <c r="GC26" i="33"/>
  <c r="GD26" i="33"/>
  <c r="CK27" i="33"/>
  <c r="CL27" i="33"/>
  <c r="CM27" i="33"/>
  <c r="LD11" i="33"/>
  <c r="LB11" i="33"/>
  <c r="LC11" i="33"/>
  <c r="LL6" i="33"/>
  <c r="LI83" i="33" s="1"/>
  <c r="LK6" i="33"/>
  <c r="LG83" i="33" s="1"/>
  <c r="LE34" i="33"/>
  <c r="LF34" i="33"/>
  <c r="LG34" i="33"/>
  <c r="ID18" i="33"/>
  <c r="IE18" i="33"/>
  <c r="IF18" i="33"/>
  <c r="DK17" i="33"/>
  <c r="DH94" i="33" s="1"/>
  <c r="DJ17" i="33"/>
  <c r="DF94" i="33" s="1"/>
  <c r="LW29" i="33"/>
  <c r="LU29" i="33"/>
  <c r="LV29" i="33"/>
  <c r="IN37" i="33"/>
  <c r="IK114" i="33" s="1"/>
  <c r="IM37" i="33"/>
  <c r="II114" i="33" s="1"/>
  <c r="AG26" i="33"/>
  <c r="AF26" i="33"/>
  <c r="AH26" i="33"/>
  <c r="FO34" i="33"/>
  <c r="FK111" i="33" s="1"/>
  <c r="FP34" i="33"/>
  <c r="FM111" i="33" s="1"/>
  <c r="FJ16" i="33"/>
  <c r="FI16" i="33"/>
  <c r="FK16" i="33"/>
  <c r="LI7" i="33"/>
  <c r="LF84" i="33" s="1"/>
  <c r="LJ7" i="33"/>
  <c r="LH84" i="33" s="1"/>
  <c r="GF29" i="33"/>
  <c r="GC106" i="33" s="1"/>
  <c r="GG29" i="33"/>
  <c r="GE106" i="33" s="1"/>
  <c r="EU8" i="33"/>
  <c r="ES85" i="33" s="1"/>
  <c r="ET8" i="33"/>
  <c r="EQ85" i="33" s="1"/>
  <c r="BV32" i="33"/>
  <c r="BS109" i="33" s="1"/>
  <c r="BW32" i="33"/>
  <c r="BU109" i="33" s="1"/>
  <c r="LV35" i="33"/>
  <c r="LU35" i="33"/>
  <c r="LW35" i="33"/>
  <c r="FK34" i="33"/>
  <c r="FJ34" i="33"/>
  <c r="FI34" i="33"/>
  <c r="CR13" i="33"/>
  <c r="CO90" i="33" s="1"/>
  <c r="CQ13" i="33"/>
  <c r="CM90" i="33" s="1"/>
  <c r="JG29" i="33"/>
  <c r="JD106" i="33" s="1"/>
  <c r="JF29" i="33"/>
  <c r="JB106" i="33" s="1"/>
  <c r="EA18" i="33"/>
  <c r="DX95" i="33" s="1"/>
  <c r="EB18" i="33"/>
  <c r="DZ95" i="33" s="1"/>
  <c r="FG35" i="33"/>
  <c r="FH35" i="33"/>
  <c r="FF35" i="33"/>
  <c r="JD12" i="33"/>
  <c r="JA89" i="33" s="1"/>
  <c r="JE12" i="33"/>
  <c r="JC89" i="33" s="1"/>
  <c r="LJ33" i="33"/>
  <c r="LH110" i="33" s="1"/>
  <c r="LI33" i="33"/>
  <c r="LF110" i="33" s="1"/>
  <c r="DU34" i="33"/>
  <c r="DV34" i="33"/>
  <c r="DT34" i="33"/>
  <c r="DW13" i="33"/>
  <c r="DX13" i="33"/>
  <c r="DY13" i="33"/>
  <c r="LI13" i="33"/>
  <c r="LF90" i="33" s="1"/>
  <c r="LJ13" i="33"/>
  <c r="LH90" i="33" s="1"/>
  <c r="LE32" i="33"/>
  <c r="LG32" i="33"/>
  <c r="LF32" i="33"/>
  <c r="LK24" i="33"/>
  <c r="LG101" i="33" s="1"/>
  <c r="LL24" i="33"/>
  <c r="LI101" i="33" s="1"/>
  <c r="FN17" i="33"/>
  <c r="FL94" i="33" s="1"/>
  <c r="FM17" i="33"/>
  <c r="FJ94" i="33" s="1"/>
  <c r="CI14" i="33"/>
  <c r="CJ14" i="33"/>
  <c r="CH14" i="33"/>
  <c r="ED17" i="33"/>
  <c r="EA94" i="33" s="1"/>
  <c r="EC17" i="33"/>
  <c r="DY94" i="33" s="1"/>
  <c r="LG6" i="33"/>
  <c r="LE6" i="33"/>
  <c r="LF6" i="33"/>
  <c r="DK15" i="33"/>
  <c r="DH92" i="33" s="1"/>
  <c r="DJ15" i="33"/>
  <c r="DF92" i="33" s="1"/>
  <c r="MB23" i="33"/>
  <c r="LY100" i="33" s="1"/>
  <c r="MC23" i="33"/>
  <c r="MA100" i="33" s="1"/>
  <c r="GI30" i="33"/>
  <c r="GF107" i="33" s="1"/>
  <c r="GH30" i="33"/>
  <c r="GD107" i="33" s="1"/>
  <c r="CM9" i="33"/>
  <c r="CK9" i="33"/>
  <c r="CL9" i="33"/>
  <c r="DH28" i="33"/>
  <c r="DE105" i="33" s="1"/>
  <c r="DI28" i="33"/>
  <c r="DG105" i="33" s="1"/>
  <c r="CK29" i="33"/>
  <c r="CM29" i="33"/>
  <c r="CL29" i="33"/>
  <c r="LZ6" i="33"/>
  <c r="LY6" i="33"/>
  <c r="LX6" i="33"/>
  <c r="FN35" i="33"/>
  <c r="FL112" i="33" s="1"/>
  <c r="FM35" i="33"/>
  <c r="FJ112" i="33" s="1"/>
  <c r="BV34" i="33"/>
  <c r="BS111" i="33" s="1"/>
  <c r="BW34" i="33"/>
  <c r="BU111" i="33" s="1"/>
  <c r="DV18" i="33"/>
  <c r="DU18" i="33"/>
  <c r="DT18" i="33"/>
  <c r="LW23" i="33"/>
  <c r="LU23" i="33"/>
  <c r="LV23" i="33"/>
  <c r="DE29" i="33"/>
  <c r="DF29" i="33"/>
  <c r="DD29" i="33"/>
  <c r="LB7" i="33"/>
  <c r="LD7" i="33"/>
  <c r="LC7" i="33"/>
  <c r="JB31" i="33"/>
  <c r="JA31" i="33"/>
  <c r="IZ31" i="33"/>
  <c r="LJ17" i="33"/>
  <c r="LH94" i="33" s="1"/>
  <c r="LI17" i="33"/>
  <c r="LF94" i="33" s="1"/>
  <c r="KR32" i="33"/>
  <c r="KN109" i="33" s="1"/>
  <c r="KS32" i="33"/>
  <c r="KP109" i="33" s="1"/>
  <c r="KI17" i="33"/>
  <c r="KK17" i="33"/>
  <c r="KJ17" i="33"/>
  <c r="JE24" i="33"/>
  <c r="JC101" i="33" s="1"/>
  <c r="JD24" i="33"/>
  <c r="JA101" i="33" s="1"/>
  <c r="CP28" i="33"/>
  <c r="CN105" i="33" s="1"/>
  <c r="CO28" i="33"/>
  <c r="CL105" i="33" s="1"/>
  <c r="JU28" i="33"/>
  <c r="JT28" i="33"/>
  <c r="JS28" i="33"/>
  <c r="ET26" i="33"/>
  <c r="EQ103" i="33" s="1"/>
  <c r="EU26" i="33"/>
  <c r="ES103" i="33" s="1"/>
  <c r="JZ14" i="33"/>
  <c r="JW91" i="33" s="1"/>
  <c r="JY14" i="33"/>
  <c r="JU91" i="33" s="1"/>
  <c r="MD24" i="33"/>
  <c r="LZ101" i="33" s="1"/>
  <c r="ME24" i="33"/>
  <c r="MB101" i="33" s="1"/>
  <c r="MB11" i="33"/>
  <c r="LY88" i="33" s="1"/>
  <c r="MC11" i="33"/>
  <c r="MA88" i="33" s="1"/>
  <c r="LI25" i="33"/>
  <c r="LF102" i="33" s="1"/>
  <c r="LJ25" i="33"/>
  <c r="LH102" i="33" s="1"/>
  <c r="ME6" i="33"/>
  <c r="MB83" i="33" s="1"/>
  <c r="MD6" i="33"/>
  <c r="LZ83" i="33" s="1"/>
  <c r="JB27" i="33"/>
  <c r="IZ27" i="33"/>
  <c r="JA27" i="33"/>
  <c r="LW31" i="33"/>
  <c r="LU31" i="33"/>
  <c r="LV31" i="33"/>
  <c r="CK7" i="33"/>
  <c r="CM7" i="33"/>
  <c r="CL7" i="33"/>
  <c r="AY7" i="33"/>
  <c r="BA7" i="33"/>
  <c r="AZ7" i="33"/>
  <c r="JE28" i="33"/>
  <c r="JC105" i="33" s="1"/>
  <c r="JD28" i="33"/>
  <c r="JA105" i="33" s="1"/>
  <c r="DC14" i="33"/>
  <c r="DB14" i="33"/>
  <c r="DA14" i="33"/>
  <c r="DJ29" i="33"/>
  <c r="DF106" i="33" s="1"/>
  <c r="DK29" i="33"/>
  <c r="DH106" i="33" s="1"/>
  <c r="IW28" i="33"/>
  <c r="IY28" i="33"/>
  <c r="IX28" i="33"/>
  <c r="CR9" i="33"/>
  <c r="CO86" i="33" s="1"/>
  <c r="CQ9" i="33"/>
  <c r="CM86" i="33" s="1"/>
  <c r="LW9" i="33"/>
  <c r="LV9" i="33"/>
  <c r="LU9" i="33"/>
  <c r="ME20" i="33"/>
  <c r="MB97" i="33" s="1"/>
  <c r="MD20" i="33"/>
  <c r="LZ97" i="33" s="1"/>
  <c r="DB28" i="33"/>
  <c r="DA28" i="33"/>
  <c r="DC28" i="33"/>
  <c r="LG24" i="33"/>
  <c r="LE24" i="33"/>
  <c r="LF24" i="33"/>
  <c r="ME26" i="33"/>
  <c r="MB103" i="33" s="1"/>
  <c r="MD26" i="33"/>
  <c r="LZ103" i="33" s="1"/>
  <c r="DC16" i="33"/>
  <c r="DA16" i="33"/>
  <c r="DB16" i="33"/>
  <c r="LL26" i="33"/>
  <c r="LI103" i="33" s="1"/>
  <c r="LK26" i="33"/>
  <c r="LG103" i="33" s="1"/>
  <c r="EV23" i="33"/>
  <c r="ER100" i="33" s="1"/>
  <c r="EW23" i="33"/>
  <c r="ET100" i="33" s="1"/>
  <c r="KQ33" i="33"/>
  <c r="KO110" i="33" s="1"/>
  <c r="KP33" i="33"/>
  <c r="KM110" i="33" s="1"/>
  <c r="DD35" i="33"/>
  <c r="DE35" i="33"/>
  <c r="DF35" i="33"/>
  <c r="EO26" i="33"/>
  <c r="EN26" i="33"/>
  <c r="EM26" i="33"/>
  <c r="CR31" i="33"/>
  <c r="CO108" i="33" s="1"/>
  <c r="CQ31" i="33"/>
  <c r="CM108" i="33" s="1"/>
  <c r="LZ10" i="33"/>
  <c r="LY10" i="33"/>
  <c r="LX10" i="33"/>
  <c r="IZ9" i="33"/>
  <c r="JA9" i="33"/>
  <c r="JB9" i="33"/>
  <c r="DF37" i="33"/>
  <c r="DD37" i="33"/>
  <c r="DE37" i="33"/>
  <c r="DK11" i="33"/>
  <c r="DH88" i="33" s="1"/>
  <c r="DJ11" i="33"/>
  <c r="DF88" i="33" s="1"/>
  <c r="LL12" i="33"/>
  <c r="LI89" i="33" s="1"/>
  <c r="LK12" i="33"/>
  <c r="LG89" i="33" s="1"/>
  <c r="MC29" i="33"/>
  <c r="MA106" i="33" s="1"/>
  <c r="MB29" i="33"/>
  <c r="LY106" i="33" s="1"/>
  <c r="BY15" i="33"/>
  <c r="BV92" i="33" s="1"/>
  <c r="BX15" i="33"/>
  <c r="BT92" i="33" s="1"/>
  <c r="CM13" i="33"/>
  <c r="CK13" i="33"/>
  <c r="CL13" i="33"/>
  <c r="JW13" i="33"/>
  <c r="JT90" i="33" s="1"/>
  <c r="JX13" i="33"/>
  <c r="JV90" i="33" s="1"/>
  <c r="FZ13" i="33"/>
  <c r="FY13" i="33"/>
  <c r="GA13" i="33"/>
  <c r="GC30" i="33"/>
  <c r="GB30" i="33"/>
  <c r="GD30" i="33"/>
  <c r="IX24" i="33"/>
  <c r="IY24" i="33"/>
  <c r="IW24" i="33"/>
  <c r="DW31" i="33"/>
  <c r="DX31" i="33"/>
  <c r="DY31" i="33"/>
  <c r="GH10" i="33"/>
  <c r="GD87" i="33" s="1"/>
  <c r="GI10" i="33"/>
  <c r="GF87" i="33" s="1"/>
  <c r="DI16" i="33"/>
  <c r="DG93" i="33" s="1"/>
  <c r="DH16" i="33"/>
  <c r="DE93" i="33" s="1"/>
  <c r="KL34" i="33"/>
  <c r="KN34" i="33"/>
  <c r="KM34" i="33"/>
  <c r="EA34" i="33"/>
  <c r="DX111" i="33" s="1"/>
  <c r="EB34" i="33"/>
  <c r="DZ111" i="33" s="1"/>
  <c r="Q32" i="33"/>
  <c r="N109" i="33" s="1"/>
  <c r="R32" i="33"/>
  <c r="P109" i="33" s="1"/>
  <c r="JQ13" i="33"/>
  <c r="JR13" i="33"/>
  <c r="JP13" i="33"/>
  <c r="FI18" i="33"/>
  <c r="FK18" i="33"/>
  <c r="FJ18" i="33"/>
  <c r="FF31" i="33"/>
  <c r="FH31" i="33"/>
  <c r="FG31" i="33"/>
  <c r="LI35" i="33"/>
  <c r="LF112" i="33" s="1"/>
  <c r="LJ35" i="33"/>
  <c r="LH112" i="33" s="1"/>
  <c r="LK34" i="33"/>
  <c r="LG111" i="33" s="1"/>
  <c r="LL34" i="33"/>
  <c r="LI111" i="33" s="1"/>
  <c r="GD24" i="33"/>
  <c r="GB24" i="33"/>
  <c r="GC24" i="33"/>
  <c r="EA14" i="33"/>
  <c r="DX91" i="33" s="1"/>
  <c r="EB14" i="33"/>
  <c r="DZ91" i="33" s="1"/>
  <c r="MC27" i="33"/>
  <c r="MA104" i="33" s="1"/>
  <c r="MB27" i="33"/>
  <c r="LY104" i="33" s="1"/>
  <c r="CP24" i="33"/>
  <c r="CN101" i="33" s="1"/>
  <c r="CO24" i="33"/>
  <c r="CL101" i="33" s="1"/>
  <c r="IL18" i="33"/>
  <c r="IJ95" i="33" s="1"/>
  <c r="IK18" i="33"/>
  <c r="IH95" i="33" s="1"/>
  <c r="LI31" i="33"/>
  <c r="LF108" i="33" s="1"/>
  <c r="LJ31" i="33"/>
  <c r="LH108" i="33" s="1"/>
  <c r="CH8" i="33"/>
  <c r="CI8" i="33"/>
  <c r="CJ8" i="33"/>
  <c r="CR23" i="33"/>
  <c r="CO100" i="33" s="1"/>
  <c r="CQ23" i="33"/>
  <c r="CM100" i="33" s="1"/>
  <c r="DU12" i="33"/>
  <c r="DT12" i="33"/>
  <c r="DV12" i="33"/>
  <c r="DF33" i="33"/>
  <c r="DE33" i="33"/>
  <c r="DD33" i="33"/>
  <c r="IK20" i="33"/>
  <c r="IH97" i="33" s="1"/>
  <c r="IL20" i="33"/>
  <c r="IJ97" i="33" s="1"/>
  <c r="KI35" i="33"/>
  <c r="KK35" i="33"/>
  <c r="KJ35" i="33"/>
  <c r="BE7" i="33"/>
  <c r="BA84" i="33" s="1"/>
  <c r="BF7" i="33"/>
  <c r="BC84" i="33" s="1"/>
  <c r="DY17" i="33"/>
  <c r="DX17" i="33"/>
  <c r="DW17" i="33"/>
  <c r="EB30" i="33"/>
  <c r="DZ107" i="33" s="1"/>
  <c r="EA30" i="33"/>
  <c r="DX107" i="33" s="1"/>
  <c r="DX15" i="33"/>
  <c r="DW15" i="33"/>
  <c r="DY15" i="33"/>
  <c r="GG27" i="33"/>
  <c r="GE104" i="33" s="1"/>
  <c r="GF27" i="33"/>
  <c r="GC104" i="33" s="1"/>
  <c r="LX18" i="33"/>
  <c r="LY18" i="33"/>
  <c r="LZ18" i="33"/>
  <c r="II13" i="33"/>
  <c r="IH13" i="33"/>
  <c r="IG13" i="33"/>
  <c r="IW30" i="33"/>
  <c r="IX30" i="33"/>
  <c r="IY30" i="33"/>
  <c r="LZ24" i="33"/>
  <c r="LY24" i="33"/>
  <c r="LX24" i="33"/>
  <c r="BT15" i="33"/>
  <c r="BS15" i="33"/>
  <c r="BR15" i="33"/>
  <c r="JT14" i="33"/>
  <c r="JU14" i="33"/>
  <c r="JS14" i="33"/>
  <c r="DC20" i="33"/>
  <c r="DA20" i="33"/>
  <c r="DB20" i="33"/>
  <c r="ER23" i="33"/>
  <c r="EQ23" i="33"/>
  <c r="EP23" i="33"/>
  <c r="LU17" i="33"/>
  <c r="LV17" i="33"/>
  <c r="LW17" i="33"/>
  <c r="MC15" i="33"/>
  <c r="MA92" i="33" s="1"/>
  <c r="MB15" i="33"/>
  <c r="LY92" i="33" s="1"/>
  <c r="L32" i="33"/>
  <c r="K32" i="33"/>
  <c r="J32" i="33"/>
  <c r="KP31" i="33"/>
  <c r="KM108" i="33" s="1"/>
  <c r="KQ31" i="33"/>
  <c r="KO108" i="33" s="1"/>
  <c r="JD30" i="33"/>
  <c r="JA107" i="33" s="1"/>
  <c r="JE30" i="33"/>
  <c r="JC107" i="33" s="1"/>
  <c r="DJ35" i="33"/>
  <c r="DF112" i="33" s="1"/>
  <c r="DK35" i="33"/>
  <c r="DH112" i="33" s="1"/>
  <c r="IW12" i="33"/>
  <c r="IX12" i="33"/>
  <c r="IY12" i="33"/>
  <c r="N33" i="33"/>
  <c r="M33" i="33"/>
  <c r="O33" i="33"/>
  <c r="CO14" i="33"/>
  <c r="CL91" i="33" s="1"/>
  <c r="CP14" i="33"/>
  <c r="CN91" i="33" s="1"/>
  <c r="JG9" i="33"/>
  <c r="JD86" i="33" s="1"/>
  <c r="JF9" i="33"/>
  <c r="JB86" i="33" s="1"/>
  <c r="MB9" i="33"/>
  <c r="LY86" i="33" s="1"/>
  <c r="MC9" i="33"/>
  <c r="MA86" i="33" s="1"/>
  <c r="HP16" i="33"/>
  <c r="HO16" i="33"/>
  <c r="HN16" i="33"/>
  <c r="DE15" i="33"/>
  <c r="DF15" i="33"/>
  <c r="DD15" i="33"/>
  <c r="LC17" i="33"/>
  <c r="LB17" i="33"/>
  <c r="LD17" i="33"/>
  <c r="MD28" i="33"/>
  <c r="LZ105" i="33" s="1"/>
  <c r="ME28" i="33"/>
  <c r="MB105" i="33" s="1"/>
  <c r="BQ34" i="33"/>
  <c r="BO34" i="33"/>
  <c r="BP34" i="33"/>
  <c r="LI15" i="33"/>
  <c r="LF92" i="33" s="1"/>
  <c r="LJ15" i="33"/>
  <c r="LH92" i="33" s="1"/>
  <c r="LX20" i="33"/>
  <c r="LY20" i="33"/>
  <c r="LZ20" i="33"/>
  <c r="KS18" i="33"/>
  <c r="KP95" i="33" s="1"/>
  <c r="KR18" i="33"/>
  <c r="KN95" i="33" s="1"/>
  <c r="GZ25" i="33"/>
  <c r="GX102" i="33" s="1"/>
  <c r="GY25" i="33"/>
  <c r="GV102" i="33" s="1"/>
  <c r="LZ14" i="33"/>
  <c r="LY14" i="33"/>
  <c r="LX14" i="33"/>
  <c r="FK36" i="33"/>
  <c r="FJ36" i="33"/>
  <c r="FI36" i="33"/>
  <c r="LK10" i="33"/>
  <c r="LG87" i="33" s="1"/>
  <c r="LL10" i="33"/>
  <c r="LI87" i="33" s="1"/>
  <c r="EC33" i="33"/>
  <c r="DY110" i="33" s="1"/>
  <c r="ED33" i="33"/>
  <c r="EA110" i="33" s="1"/>
  <c r="LL28" i="33"/>
  <c r="LI105" i="33" s="1"/>
  <c r="LK28" i="33"/>
  <c r="LG105" i="33" s="1"/>
  <c r="ED29" i="33"/>
  <c r="EA106" i="33" s="1"/>
  <c r="EC29" i="33"/>
  <c r="DY106" i="33" s="1"/>
  <c r="DH36" i="33"/>
  <c r="DE113" i="33" s="1"/>
  <c r="DI36" i="33"/>
  <c r="DG113" i="33" s="1"/>
  <c r="ID34" i="33"/>
  <c r="IF34" i="33"/>
  <c r="IE34" i="33"/>
  <c r="CM25" i="33"/>
  <c r="CL25" i="33"/>
  <c r="CK25" i="33"/>
  <c r="MD30" i="33"/>
  <c r="LZ107" i="33" s="1"/>
  <c r="ME30" i="33"/>
  <c r="MB107" i="33" s="1"/>
  <c r="KS16" i="33"/>
  <c r="KP93" i="33" s="1"/>
  <c r="KR16" i="33"/>
  <c r="KN93" i="33" s="1"/>
  <c r="LJ27" i="33"/>
  <c r="LH104" i="33" s="1"/>
  <c r="LI27" i="33"/>
  <c r="LF104" i="33" s="1"/>
  <c r="DK37" i="33"/>
  <c r="DH114" i="33" s="1"/>
  <c r="DJ37" i="33"/>
  <c r="DF114" i="33" s="1"/>
  <c r="LD13" i="33"/>
  <c r="LC13" i="33"/>
  <c r="LB13" i="33"/>
  <c r="CJ10" i="33"/>
  <c r="CI10" i="33"/>
  <c r="CH10" i="33"/>
  <c r="FO16" i="33"/>
  <c r="FK93" i="33" s="1"/>
  <c r="FP16" i="33"/>
  <c r="FM93" i="33" s="1"/>
  <c r="JG25" i="33"/>
  <c r="JD102" i="33" s="1"/>
  <c r="JF25" i="33"/>
  <c r="JB102" i="33" s="1"/>
  <c r="HA24" i="33"/>
  <c r="GW101" i="33" s="1"/>
  <c r="HB24" i="33"/>
  <c r="GY101" i="33" s="1"/>
  <c r="CQ11" i="33"/>
  <c r="CM88" i="33" s="1"/>
  <c r="CR11" i="33"/>
  <c r="CO88" i="33" s="1"/>
  <c r="EU28" i="33"/>
  <c r="ES105" i="33" s="1"/>
  <c r="ET28" i="33"/>
  <c r="EQ105" i="33" s="1"/>
  <c r="JT32" i="33"/>
  <c r="JS32" i="33"/>
  <c r="JU32" i="33"/>
  <c r="LX34" i="33"/>
  <c r="LY34" i="33"/>
  <c r="LZ34" i="33"/>
  <c r="BT17" i="33"/>
  <c r="BS17" i="33"/>
  <c r="BR17" i="33"/>
  <c r="R122" i="1"/>
  <c r="Z9" i="3"/>
  <c r="V122" i="1"/>
  <c r="AB9" i="3"/>
  <c r="P209" i="1"/>
  <c r="K13" i="3"/>
  <c r="V9" i="3"/>
  <c r="P122" i="1"/>
  <c r="T122" i="1"/>
  <c r="AA9" i="3"/>
  <c r="L122" i="1"/>
  <c r="W9" i="3"/>
  <c r="N122" i="1"/>
  <c r="X9" i="3"/>
  <c r="J10" i="3"/>
  <c r="N164" i="1"/>
  <c r="J122" i="1"/>
  <c r="R164" i="1"/>
  <c r="L10" i="3"/>
  <c r="N10" i="3"/>
  <c r="V164" i="1"/>
  <c r="N150" i="1"/>
  <c r="L164" i="1"/>
  <c r="P165" i="1" s="1"/>
  <c r="T150" i="1"/>
  <c r="I10" i="3"/>
  <c r="R150" i="1"/>
  <c r="J150" i="1"/>
  <c r="V150" i="1"/>
  <c r="H10" i="3"/>
  <c r="J164" i="1"/>
  <c r="M12" i="3"/>
  <c r="T194" i="1"/>
  <c r="N137" i="1" l="1"/>
  <c r="X10" i="3"/>
  <c r="P224" i="1"/>
  <c r="K14" i="3"/>
  <c r="V10" i="3"/>
  <c r="P137" i="1"/>
  <c r="T137" i="1"/>
  <c r="AA10" i="3"/>
  <c r="V137" i="1"/>
  <c r="AB10" i="3"/>
  <c r="L137" i="1"/>
  <c r="W10" i="3"/>
  <c r="R137" i="1"/>
  <c r="Z10" i="3"/>
  <c r="H11" i="3"/>
  <c r="J179" i="1"/>
  <c r="N165" i="1"/>
  <c r="L179" i="1"/>
  <c r="P180" i="1" s="1"/>
  <c r="T165" i="1"/>
  <c r="I11" i="3"/>
  <c r="R165" i="1"/>
  <c r="J165" i="1"/>
  <c r="V165" i="1"/>
  <c r="V179" i="1"/>
  <c r="N11" i="3"/>
  <c r="J137" i="1"/>
  <c r="M13" i="3"/>
  <c r="T209" i="1"/>
  <c r="R179" i="1"/>
  <c r="L11" i="3"/>
  <c r="N179" i="1"/>
  <c r="J11" i="3"/>
  <c r="DO28" i="33"/>
  <c r="C9" i="24"/>
  <c r="LR6" i="33"/>
  <c r="BU14" i="33"/>
  <c r="CE28" i="33"/>
  <c r="FL16" i="33"/>
  <c r="FV21" i="33"/>
  <c r="DG37" i="33"/>
  <c r="Z27" i="33"/>
  <c r="BJ34" i="33"/>
  <c r="JV5" i="33"/>
  <c r="E14" i="24"/>
  <c r="KD29" i="33"/>
  <c r="H9" i="24"/>
  <c r="DQ4" i="33"/>
  <c r="HH31" i="33"/>
  <c r="KF10" i="33"/>
  <c r="B23" i="24"/>
  <c r="BL36" i="33"/>
  <c r="JM7" i="33"/>
  <c r="LP34" i="33"/>
  <c r="FC35" i="33"/>
  <c r="IJ4" i="33"/>
  <c r="JK8" i="33"/>
  <c r="G18" i="33"/>
  <c r="M31" i="24"/>
  <c r="DG26" i="33"/>
  <c r="HF10" i="33"/>
  <c r="KY21" i="33"/>
  <c r="FT23" i="33"/>
  <c r="X16" i="33"/>
  <c r="JV16" i="33"/>
  <c r="CX22" i="33"/>
  <c r="DO4" i="33"/>
  <c r="K9" i="24"/>
  <c r="AS19" i="33"/>
  <c r="GO17" i="33"/>
  <c r="R28" i="24"/>
  <c r="KO7" i="33"/>
  <c r="GE20" i="33"/>
  <c r="O17" i="24"/>
  <c r="JK13" i="33"/>
  <c r="CE35" i="33"/>
  <c r="LR24" i="33"/>
  <c r="J5" i="24"/>
  <c r="CX16" i="33"/>
  <c r="CE9" i="33"/>
  <c r="FC14" i="33"/>
  <c r="IR24" i="33"/>
  <c r="BJ22" i="33"/>
  <c r="P32" i="33"/>
  <c r="IT18" i="33"/>
  <c r="DQ35" i="33"/>
  <c r="FV36" i="33"/>
  <c r="O10" i="24"/>
  <c r="R16" i="24"/>
  <c r="CC13" i="33"/>
  <c r="EH35" i="33"/>
  <c r="ES14" i="33"/>
  <c r="MA26" i="33"/>
  <c r="AI6" i="33"/>
  <c r="JM9" i="33"/>
  <c r="LP9" i="33"/>
  <c r="FL10" i="33"/>
  <c r="HF23" i="33"/>
  <c r="G13" i="33"/>
  <c r="JV14" i="33"/>
  <c r="AS33" i="33"/>
  <c r="D20" i="24"/>
  <c r="MA29" i="33"/>
  <c r="P26" i="33"/>
  <c r="CE25" i="33"/>
  <c r="IR31" i="33"/>
  <c r="IT19" i="33"/>
  <c r="HY7" i="33"/>
  <c r="LR32" i="33"/>
  <c r="D6" i="24"/>
  <c r="FA12" i="33"/>
  <c r="M14" i="24"/>
  <c r="DG11" i="33"/>
  <c r="Z16" i="33"/>
  <c r="DQ23" i="33"/>
  <c r="Q9" i="24"/>
  <c r="FL35" i="33"/>
  <c r="HF17" i="33"/>
  <c r="LP23" i="33"/>
  <c r="FV17" i="33"/>
  <c r="LH13" i="33"/>
  <c r="KF25" i="33"/>
  <c r="JV35" i="33"/>
  <c r="KY17" i="33"/>
  <c r="LH22" i="33"/>
  <c r="HY26" i="33"/>
  <c r="IR5" i="33"/>
  <c r="L20" i="24"/>
  <c r="DZ33" i="33"/>
  <c r="P13" i="24"/>
  <c r="GX25" i="33"/>
  <c r="MA30" i="33"/>
  <c r="BU29" i="33"/>
  <c r="IA13" i="33"/>
  <c r="L24" i="24"/>
  <c r="D4" i="24"/>
  <c r="JC17" i="33"/>
  <c r="I22" i="24"/>
  <c r="L3" i="24"/>
  <c r="M25" i="24"/>
  <c r="JM15" i="33"/>
  <c r="S25" i="24"/>
  <c r="E27" i="24"/>
  <c r="KW17" i="33"/>
  <c r="CN11" i="33"/>
  <c r="D33" i="24"/>
  <c r="DQ27" i="33"/>
  <c r="E33" i="33"/>
  <c r="BJ15" i="33"/>
  <c r="DZ27" i="33"/>
  <c r="JK26" i="33"/>
  <c r="AS7" i="33"/>
  <c r="JC30" i="33"/>
  <c r="HH29" i="33"/>
  <c r="KF32" i="33"/>
  <c r="JK14" i="33"/>
  <c r="P8" i="33"/>
  <c r="HQ12" i="33"/>
  <c r="G26" i="24"/>
  <c r="LH34" i="33"/>
  <c r="B13" i="24"/>
  <c r="S27" i="24"/>
  <c r="LR19" i="33"/>
  <c r="P26" i="24"/>
  <c r="BL19" i="33"/>
  <c r="GX19" i="33"/>
  <c r="GM12" i="33"/>
  <c r="BU12" i="33"/>
  <c r="JV13" i="33"/>
  <c r="EJ18" i="33"/>
  <c r="M10" i="24"/>
  <c r="DZ14" i="33"/>
  <c r="E9" i="24"/>
  <c r="JK37" i="33"/>
  <c r="R31" i="24"/>
  <c r="AQ20" i="33"/>
  <c r="BU37" i="33"/>
  <c r="I11" i="24"/>
  <c r="EH18" i="33"/>
  <c r="E25" i="33"/>
  <c r="K24" i="24"/>
  <c r="HQ26" i="33"/>
  <c r="FC10" i="33"/>
  <c r="GE36" i="33"/>
  <c r="LP5" i="33"/>
  <c r="EJ30" i="33"/>
  <c r="GE18" i="33"/>
  <c r="G4" i="24"/>
  <c r="IR9" i="33"/>
  <c r="MA20" i="33"/>
  <c r="K5" i="24"/>
  <c r="O19" i="24"/>
  <c r="E13" i="24"/>
  <c r="KO33" i="33"/>
  <c r="CN28" i="33"/>
  <c r="G20" i="24"/>
  <c r="BJ26" i="33"/>
  <c r="MA24" i="33"/>
  <c r="BL22" i="33"/>
  <c r="IT11" i="33"/>
  <c r="L19" i="24"/>
  <c r="G35" i="24"/>
  <c r="CE31" i="33"/>
  <c r="Z6" i="33"/>
  <c r="IA22" i="33"/>
  <c r="CC9" i="33"/>
  <c r="I17" i="24"/>
  <c r="P9" i="33"/>
  <c r="FC5" i="33"/>
  <c r="IJ29" i="33"/>
  <c r="EJ9" i="33"/>
  <c r="JK25" i="33"/>
  <c r="IT23" i="33"/>
  <c r="LH24" i="33"/>
  <c r="GX21" i="33"/>
  <c r="KW4" i="33"/>
  <c r="L10" i="24"/>
  <c r="G11" i="33"/>
  <c r="FL17" i="33"/>
  <c r="Q26" i="24"/>
  <c r="C4" i="24"/>
  <c r="L30" i="24"/>
  <c r="LR7" i="33"/>
  <c r="FL11" i="33"/>
  <c r="JM22" i="33"/>
  <c r="R19" i="24"/>
  <c r="DG18" i="33"/>
  <c r="Z36" i="33"/>
  <c r="M30" i="24"/>
  <c r="K14" i="24"/>
  <c r="AS36" i="33"/>
  <c r="HF13" i="33"/>
  <c r="HH34" i="33"/>
  <c r="LP35" i="33"/>
  <c r="IT10" i="33"/>
  <c r="GO29" i="33"/>
  <c r="GX16" i="33"/>
  <c r="DZ18" i="33"/>
  <c r="IT12" i="33"/>
  <c r="BB25" i="33"/>
  <c r="P28" i="24"/>
  <c r="P11" i="33"/>
  <c r="ES18" i="33"/>
  <c r="F11" i="24"/>
  <c r="IR33" i="33"/>
  <c r="BJ17" i="33"/>
  <c r="KO16" i="33"/>
  <c r="AQ37" i="33"/>
  <c r="HY34" i="33"/>
  <c r="J12" i="24"/>
  <c r="FV22" i="33"/>
  <c r="D10" i="24"/>
  <c r="KY15" i="33"/>
  <c r="M20" i="24"/>
  <c r="G23" i="24"/>
  <c r="KF36" i="33"/>
  <c r="IJ5" i="33"/>
  <c r="G27" i="33"/>
  <c r="HF31" i="33"/>
  <c r="X30" i="33"/>
  <c r="G28" i="24"/>
  <c r="X17" i="33"/>
  <c r="BJ31" i="33"/>
  <c r="FT37" i="33"/>
  <c r="DQ5" i="33"/>
  <c r="JM19" i="33"/>
  <c r="X21" i="33"/>
  <c r="D31" i="24"/>
  <c r="LH10" i="33"/>
  <c r="JV6" i="33"/>
  <c r="F13" i="24"/>
  <c r="JC19" i="33"/>
  <c r="CX31" i="33"/>
  <c r="C7" i="24"/>
  <c r="CC10" i="33"/>
  <c r="K35" i="24"/>
  <c r="IR12" i="33"/>
  <c r="S33" i="24"/>
  <c r="G20" i="33"/>
  <c r="B18" i="24"/>
  <c r="N7" i="24"/>
  <c r="ES34" i="33"/>
  <c r="BU9" i="33"/>
  <c r="MA9" i="33"/>
  <c r="FV18" i="33"/>
  <c r="CC16" i="33"/>
  <c r="CC4" i="33"/>
  <c r="HF16" i="33"/>
  <c r="AI24" i="33"/>
  <c r="F23" i="24"/>
  <c r="X32" i="33"/>
  <c r="H30" i="24"/>
  <c r="H23" i="24"/>
  <c r="DO15" i="33"/>
  <c r="G31" i="33"/>
  <c r="DQ37" i="33"/>
  <c r="AQ11" i="33"/>
  <c r="R12" i="24"/>
  <c r="JM6" i="33"/>
  <c r="BB18" i="33"/>
  <c r="EJ32" i="33"/>
  <c r="LR22" i="33"/>
  <c r="L35" i="24"/>
  <c r="IJ25" i="33"/>
  <c r="IJ28" i="33"/>
  <c r="M24" i="24"/>
  <c r="BL8" i="33"/>
  <c r="KD34" i="33"/>
  <c r="DG5" i="33"/>
  <c r="DG16" i="33"/>
  <c r="FT30" i="33"/>
  <c r="HY28" i="33"/>
  <c r="EJ29" i="33"/>
  <c r="GX26" i="33"/>
  <c r="E31" i="24"/>
  <c r="D23" i="24"/>
  <c r="FC11" i="33"/>
  <c r="P27" i="24"/>
  <c r="DQ8" i="33"/>
  <c r="GX13" i="33"/>
  <c r="IJ10" i="33"/>
  <c r="S3" i="24"/>
  <c r="EH26" i="33"/>
  <c r="CV28" i="33"/>
  <c r="AQ15" i="33"/>
  <c r="L11" i="24"/>
  <c r="CV14" i="33"/>
  <c r="DQ36" i="33"/>
  <c r="ES22" i="33"/>
  <c r="C28" i="24"/>
  <c r="AQ32" i="33"/>
  <c r="G5" i="33"/>
  <c r="HQ14" i="33"/>
  <c r="BB11" i="33"/>
  <c r="C11" i="24"/>
  <c r="P24" i="24"/>
  <c r="Z25" i="33"/>
  <c r="Q24" i="24"/>
  <c r="CV29" i="33"/>
  <c r="IR28" i="33"/>
  <c r="CN16" i="33"/>
  <c r="CX9" i="33"/>
  <c r="HF19" i="33"/>
  <c r="CX10" i="33"/>
  <c r="D12" i="24"/>
  <c r="GO37" i="33"/>
  <c r="JC12" i="33"/>
  <c r="KF7" i="33"/>
  <c r="H24" i="24"/>
  <c r="R18" i="24"/>
  <c r="DO9" i="33"/>
  <c r="DQ6" i="33"/>
  <c r="GO14" i="33"/>
  <c r="B31" i="24"/>
  <c r="LP6" i="33"/>
  <c r="KO28" i="33"/>
  <c r="E35" i="33"/>
  <c r="DO23" i="33"/>
  <c r="KW32" i="33"/>
  <c r="JC29" i="33"/>
  <c r="FT21" i="33"/>
  <c r="CX12" i="33"/>
  <c r="EJ26" i="33"/>
  <c r="IR23" i="33"/>
  <c r="X26" i="33"/>
  <c r="GO35" i="33"/>
  <c r="CX11" i="33"/>
  <c r="GE5" i="33"/>
  <c r="JM34" i="33"/>
  <c r="FT26" i="33"/>
  <c r="P35" i="24"/>
  <c r="HF14" i="33"/>
  <c r="P23" i="24"/>
  <c r="KF5" i="33"/>
  <c r="HF32" i="33"/>
  <c r="E11" i="24"/>
  <c r="AS16" i="33"/>
  <c r="X5" i="33"/>
  <c r="DZ20" i="33"/>
  <c r="P4" i="33"/>
  <c r="JV23" i="33"/>
  <c r="D30" i="24"/>
  <c r="GO8" i="33"/>
  <c r="CX20" i="33"/>
  <c r="LH7" i="33"/>
  <c r="LH33" i="33"/>
  <c r="LH6" i="33"/>
  <c r="JV36" i="33"/>
  <c r="JV22" i="33"/>
  <c r="IT30" i="33"/>
  <c r="I4" i="24"/>
  <c r="I33" i="24"/>
  <c r="AQ36" i="33"/>
  <c r="CX23" i="33"/>
  <c r="FA36" i="33"/>
  <c r="JV37" i="33"/>
  <c r="LH28" i="33"/>
  <c r="JK32" i="33"/>
  <c r="S29" i="24"/>
  <c r="F35" i="24"/>
  <c r="GM15" i="33"/>
  <c r="H15" i="24"/>
  <c r="IR36" i="33"/>
  <c r="IJ11" i="33"/>
  <c r="CV15" i="33"/>
  <c r="FC27" i="33"/>
  <c r="IR32" i="33"/>
  <c r="S12" i="24"/>
  <c r="Z11" i="33"/>
  <c r="M33" i="24"/>
  <c r="C33" i="24"/>
  <c r="MA28" i="33"/>
  <c r="I10" i="24"/>
  <c r="E30" i="24"/>
  <c r="Z7" i="33"/>
  <c r="D8" i="24"/>
  <c r="LR13" i="33"/>
  <c r="JK33" i="33"/>
  <c r="F12" i="24"/>
  <c r="AS26" i="33"/>
  <c r="G21" i="24"/>
  <c r="BB35" i="33"/>
  <c r="BB7" i="33"/>
  <c r="HH26" i="33"/>
  <c r="DO37" i="33"/>
  <c r="KD26" i="33"/>
  <c r="HY13" i="33"/>
  <c r="J30" i="24"/>
  <c r="E32" i="33"/>
  <c r="JC25" i="33"/>
  <c r="LP14" i="33"/>
  <c r="KO8" i="33"/>
  <c r="KW13" i="33"/>
  <c r="HY24" i="33"/>
  <c r="GX24" i="33"/>
  <c r="K4" i="24"/>
  <c r="GX20" i="33"/>
  <c r="M13" i="24"/>
  <c r="IA20" i="33"/>
  <c r="BL24" i="33"/>
  <c r="GM19" i="33"/>
  <c r="IA21" i="33"/>
  <c r="GE34" i="33"/>
  <c r="N20" i="24"/>
  <c r="BL28" i="33"/>
  <c r="LH15" i="33"/>
  <c r="D36" i="24"/>
  <c r="IT29" i="33"/>
  <c r="KF8" i="33"/>
  <c r="GM34" i="33"/>
  <c r="L17" i="24"/>
  <c r="E24" i="24"/>
  <c r="KO18" i="33"/>
  <c r="X14" i="33"/>
  <c r="E4" i="33"/>
  <c r="J14" i="24"/>
  <c r="C19" i="24"/>
  <c r="D34" i="24"/>
  <c r="FT33" i="33"/>
  <c r="KD35" i="33"/>
  <c r="F27" i="24"/>
  <c r="FL6" i="33"/>
  <c r="P23" i="33"/>
  <c r="BU28" i="33"/>
  <c r="MA27" i="33"/>
  <c r="LP17" i="33"/>
  <c r="AQ4" i="33"/>
  <c r="CE5" i="33"/>
  <c r="EH32" i="33"/>
  <c r="LR23" i="33"/>
  <c r="FA18" i="33"/>
  <c r="IJ26" i="33"/>
  <c r="AS18" i="33"/>
  <c r="HQ5" i="33"/>
  <c r="CV9" i="33"/>
  <c r="J3" i="24"/>
  <c r="HQ11" i="33"/>
  <c r="P10" i="24"/>
  <c r="HF35" i="33"/>
  <c r="JC15" i="33"/>
  <c r="M22" i="24"/>
  <c r="JK22" i="33"/>
  <c r="JM28" i="33"/>
  <c r="BU6" i="33"/>
  <c r="Q22" i="24"/>
  <c r="AI27" i="33"/>
  <c r="KY16" i="33"/>
  <c r="D3" i="24"/>
  <c r="IR6" i="33"/>
  <c r="DQ24" i="33"/>
  <c r="I9" i="24"/>
  <c r="K18" i="24"/>
  <c r="IT20" i="33"/>
  <c r="LH12" i="33"/>
  <c r="BL21" i="33"/>
  <c r="HF37" i="33"/>
  <c r="LR30" i="33"/>
  <c r="BB29" i="33"/>
  <c r="FT4" i="33"/>
  <c r="FV23" i="33"/>
  <c r="DG29" i="33"/>
  <c r="M35" i="24"/>
  <c r="H33" i="24"/>
  <c r="KD22" i="33"/>
  <c r="FT20" i="33"/>
  <c r="IR27" i="33"/>
  <c r="CN9" i="33"/>
  <c r="Q33" i="24"/>
  <c r="B8" i="24"/>
  <c r="D7" i="24"/>
  <c r="M8" i="24"/>
  <c r="L22" i="24"/>
  <c r="J18" i="24"/>
  <c r="IA17" i="33"/>
  <c r="KD11" i="33"/>
  <c r="BJ20" i="33"/>
  <c r="FC17" i="33"/>
  <c r="DQ10" i="33"/>
  <c r="CN5" i="33"/>
  <c r="BJ23" i="33"/>
  <c r="DG15" i="33"/>
  <c r="N9" i="24"/>
  <c r="DO18" i="33"/>
  <c r="MA23" i="33"/>
  <c r="HQ21" i="33"/>
  <c r="GO30" i="33"/>
  <c r="GX11" i="33"/>
  <c r="FV29" i="33"/>
  <c r="KF22" i="33"/>
  <c r="IT5" i="33"/>
  <c r="Q29" i="24"/>
  <c r="Q10" i="24"/>
  <c r="R29" i="24"/>
  <c r="N15" i="24"/>
  <c r="S8" i="24"/>
  <c r="JK34" i="33"/>
  <c r="X8" i="33"/>
  <c r="HF34" i="33"/>
  <c r="H22" i="24"/>
  <c r="KW11" i="33"/>
  <c r="MA4" i="33"/>
  <c r="JC11" i="33"/>
  <c r="BB19" i="33"/>
  <c r="P35" i="33"/>
  <c r="GM14" i="33"/>
  <c r="IJ13" i="33"/>
  <c r="B29" i="24"/>
  <c r="IA25" i="33"/>
  <c r="BU22" i="33"/>
  <c r="IJ22" i="33"/>
  <c r="AS12" i="33"/>
  <c r="IJ24" i="33"/>
  <c r="KD12" i="33"/>
  <c r="EH16" i="33"/>
  <c r="EJ6" i="33"/>
  <c r="KF16" i="33"/>
  <c r="KO10" i="33"/>
  <c r="JC33" i="33"/>
  <c r="ES28" i="33"/>
  <c r="DG35" i="33"/>
  <c r="HY6" i="33"/>
  <c r="CC15" i="33"/>
  <c r="BB6" i="33"/>
  <c r="E31" i="33"/>
  <c r="CV20" i="33"/>
  <c r="GM20" i="33"/>
  <c r="GX10" i="33"/>
  <c r="IA15" i="33"/>
  <c r="CX26" i="33"/>
  <c r="G23" i="33"/>
  <c r="JK6" i="33"/>
  <c r="LP18" i="33"/>
  <c r="CX14" i="33"/>
  <c r="FA22" i="33"/>
  <c r="BU26" i="33"/>
  <c r="P25" i="33"/>
  <c r="Q31" i="24"/>
  <c r="AI13" i="33"/>
  <c r="LP10" i="33"/>
  <c r="GE15" i="33"/>
  <c r="P14" i="33"/>
  <c r="E8" i="33"/>
  <c r="JC24" i="33"/>
  <c r="C23" i="24"/>
  <c r="JM26" i="33"/>
  <c r="IJ8" i="33"/>
  <c r="ES29" i="33"/>
  <c r="E29" i="24"/>
  <c r="Q7" i="24"/>
  <c r="HQ18" i="33"/>
  <c r="G15" i="24"/>
  <c r="FV16" i="33"/>
  <c r="GE30" i="33"/>
  <c r="GM10" i="33"/>
  <c r="E36" i="24"/>
  <c r="HQ31" i="33"/>
  <c r="O12" i="24"/>
  <c r="KD27" i="33"/>
  <c r="CN4" i="33"/>
  <c r="FC29" i="33"/>
  <c r="L32" i="24"/>
  <c r="J6" i="24"/>
  <c r="B14" i="24"/>
  <c r="EH20" i="33"/>
  <c r="Z22" i="33"/>
  <c r="MA8" i="33"/>
  <c r="I20" i="24"/>
  <c r="KW8" i="33"/>
  <c r="H14" i="24"/>
  <c r="KD21" i="33"/>
  <c r="AS5" i="33"/>
  <c r="KD17" i="33"/>
  <c r="HY4" i="33"/>
  <c r="Z5" i="33"/>
  <c r="FA34" i="33"/>
  <c r="FT6" i="33"/>
  <c r="D11" i="24"/>
  <c r="CC21" i="33"/>
  <c r="GO13" i="33"/>
  <c r="HF15" i="33"/>
  <c r="CE8" i="33"/>
  <c r="E14" i="33"/>
  <c r="H13" i="24"/>
  <c r="JC31" i="33"/>
  <c r="EH36" i="33"/>
  <c r="N11" i="24"/>
  <c r="F15" i="24"/>
  <c r="HY37" i="33"/>
  <c r="M28" i="24"/>
  <c r="H27" i="24"/>
  <c r="GX37" i="33"/>
  <c r="CE14" i="33"/>
  <c r="HF27" i="33"/>
  <c r="KY11" i="33"/>
  <c r="KO17" i="33"/>
  <c r="EJ25" i="33"/>
  <c r="DQ29" i="33"/>
  <c r="BU16" i="33"/>
  <c r="MA13" i="33"/>
  <c r="CV11" i="33"/>
  <c r="L28" i="24"/>
  <c r="GE19" i="33"/>
  <c r="P21" i="33"/>
  <c r="IT4" i="33"/>
  <c r="X27" i="33"/>
  <c r="ES33" i="33"/>
  <c r="IA10" i="33"/>
  <c r="BL13" i="33"/>
  <c r="JK17" i="33"/>
  <c r="P6" i="24"/>
  <c r="L8" i="24"/>
  <c r="KW14" i="33"/>
  <c r="CX6" i="33"/>
  <c r="B28" i="24"/>
  <c r="C13" i="24"/>
  <c r="J23" i="24"/>
  <c r="AS17" i="33"/>
  <c r="H36" i="24"/>
  <c r="KO22" i="33"/>
  <c r="DG34" i="33"/>
  <c r="I25" i="24"/>
  <c r="R30" i="24"/>
  <c r="KW15" i="33"/>
  <c r="BJ21" i="33"/>
  <c r="KY34" i="33"/>
  <c r="DO16" i="33"/>
  <c r="BB14" i="33"/>
  <c r="DO20" i="33"/>
  <c r="BJ28" i="33"/>
  <c r="J11" i="24"/>
  <c r="IA29" i="33"/>
  <c r="P20" i="33"/>
  <c r="CX19" i="33"/>
  <c r="GE17" i="33"/>
  <c r="GO22" i="33"/>
  <c r="E7" i="24"/>
  <c r="JM21" i="33"/>
  <c r="FL26" i="33"/>
  <c r="G5" i="24"/>
  <c r="CX28" i="33"/>
  <c r="FC31" i="33"/>
  <c r="EJ23" i="33"/>
  <c r="M4" i="24"/>
  <c r="AI11" i="33"/>
  <c r="DQ34" i="33"/>
  <c r="HH33" i="33"/>
  <c r="LP24" i="33"/>
  <c r="S34" i="24"/>
  <c r="CV33" i="33"/>
  <c r="LR36" i="33"/>
  <c r="HF20" i="33"/>
  <c r="FC37" i="33"/>
  <c r="CN24" i="33"/>
  <c r="HH36" i="33"/>
  <c r="HH25" i="33"/>
  <c r="KF37" i="33"/>
  <c r="E6" i="33"/>
  <c r="JC37" i="33"/>
  <c r="IT21" i="33"/>
  <c r="CE36" i="33"/>
  <c r="K33" i="24"/>
  <c r="IA5" i="33"/>
  <c r="D13" i="24"/>
  <c r="CX13" i="33"/>
  <c r="KW5" i="33"/>
  <c r="GX9" i="33"/>
  <c r="Z12" i="33"/>
  <c r="LR29" i="33"/>
  <c r="HH10" i="33"/>
  <c r="E17" i="33"/>
  <c r="KY6" i="33"/>
  <c r="CE6" i="33"/>
  <c r="B4" i="24"/>
  <c r="AS29" i="33"/>
  <c r="I35" i="24"/>
  <c r="AI17" i="33"/>
  <c r="FA13" i="33"/>
  <c r="DG28" i="33"/>
  <c r="CV26" i="33"/>
  <c r="CC27" i="33"/>
  <c r="HF25" i="33"/>
  <c r="BU32" i="33"/>
  <c r="M3" i="24"/>
  <c r="KD15" i="33"/>
  <c r="HY9" i="33"/>
  <c r="DQ33" i="33"/>
  <c r="AI15" i="33"/>
  <c r="KF19" i="33"/>
  <c r="Q19" i="24"/>
  <c r="DO13" i="33"/>
  <c r="IT7" i="33"/>
  <c r="DO19" i="33"/>
  <c r="CC29" i="33"/>
  <c r="E26" i="33"/>
  <c r="FA16" i="33"/>
  <c r="KD6" i="33"/>
  <c r="FC18" i="33"/>
  <c r="CE30" i="33"/>
  <c r="BB28" i="33"/>
  <c r="IA6" i="33"/>
  <c r="KF27" i="33"/>
  <c r="ES11" i="33"/>
  <c r="KY8" i="33"/>
  <c r="O24" i="24"/>
  <c r="BB26" i="33"/>
  <c r="HH20" i="33"/>
  <c r="ES12" i="33"/>
  <c r="FC32" i="33"/>
  <c r="GX34" i="33"/>
  <c r="L13" i="24"/>
  <c r="P30" i="24"/>
  <c r="FL22" i="33"/>
  <c r="KD8" i="33"/>
  <c r="DZ13" i="33"/>
  <c r="FC28" i="33"/>
  <c r="HF8" i="33"/>
  <c r="GO6" i="33"/>
  <c r="FA30" i="33"/>
  <c r="GO25" i="33"/>
  <c r="GO21" i="33"/>
  <c r="CN33" i="33"/>
  <c r="DQ11" i="33"/>
  <c r="DO36" i="33"/>
  <c r="K20" i="24"/>
  <c r="CC26" i="33"/>
  <c r="KF6" i="33"/>
  <c r="BJ32" i="33"/>
  <c r="P37" i="33"/>
  <c r="P30" i="33"/>
  <c r="FL18" i="33"/>
  <c r="P34" i="33"/>
  <c r="E5" i="33"/>
  <c r="AQ6" i="33"/>
  <c r="AQ21" i="33"/>
  <c r="KY30" i="33"/>
  <c r="IA14" i="33"/>
  <c r="IR17" i="33"/>
  <c r="HF18" i="33"/>
  <c r="IJ15" i="33"/>
  <c r="JM16" i="33"/>
  <c r="LP4" i="33"/>
  <c r="DQ19" i="33"/>
  <c r="DZ16" i="33"/>
  <c r="FC4" i="33"/>
  <c r="E19" i="24"/>
  <c r="EH14" i="33"/>
  <c r="B6" i="24"/>
  <c r="KO36" i="33"/>
  <c r="BJ10" i="33"/>
  <c r="DO29" i="33"/>
  <c r="FV9" i="33"/>
  <c r="JV34" i="33"/>
  <c r="GO4" i="33"/>
  <c r="HY35" i="33"/>
  <c r="IR25" i="33"/>
  <c r="G9" i="33"/>
  <c r="P3" i="24"/>
  <c r="F32" i="24"/>
  <c r="DO33" i="33"/>
  <c r="G13" i="24"/>
  <c r="DG10" i="33"/>
  <c r="FC20" i="33"/>
  <c r="GX5" i="33"/>
  <c r="S16" i="24"/>
  <c r="DO6" i="33"/>
  <c r="I24" i="24"/>
  <c r="EH30" i="33"/>
  <c r="FC13" i="33"/>
  <c r="MA15" i="33"/>
  <c r="IA30" i="33"/>
  <c r="AQ12" i="33"/>
  <c r="EH23" i="33"/>
  <c r="GM32" i="33"/>
  <c r="FL5" i="33"/>
  <c r="E19" i="33"/>
  <c r="P28" i="33"/>
  <c r="DZ30" i="33"/>
  <c r="LR12" i="33"/>
  <c r="I31" i="24"/>
  <c r="GM33" i="33"/>
  <c r="Z29" i="33"/>
  <c r="P29" i="33"/>
  <c r="IJ20" i="33"/>
  <c r="HQ36" i="33"/>
  <c r="C30" i="24"/>
  <c r="CE7" i="33"/>
  <c r="ES23" i="33"/>
  <c r="IT27" i="33"/>
  <c r="FT13" i="33"/>
  <c r="DZ34" i="33"/>
  <c r="KO32" i="33"/>
  <c r="F36" i="24"/>
  <c r="FV34" i="33"/>
  <c r="ES15" i="33"/>
  <c r="P10" i="33"/>
  <c r="CV37" i="33"/>
  <c r="GX23" i="33"/>
  <c r="F33" i="24"/>
  <c r="FA35" i="33"/>
  <c r="JM11" i="33"/>
  <c r="LH4" i="33"/>
  <c r="KD37" i="33"/>
  <c r="I15" i="24"/>
  <c r="BB32" i="33"/>
  <c r="AQ30" i="33"/>
  <c r="CE12" i="33"/>
  <c r="Q12" i="24"/>
  <c r="JV21" i="33"/>
  <c r="B19" i="24"/>
  <c r="DZ12" i="33"/>
  <c r="GO20" i="33"/>
  <c r="Z9" i="33"/>
  <c r="IJ31" i="33"/>
  <c r="Q16" i="24"/>
  <c r="BL9" i="33"/>
  <c r="B11" i="24"/>
  <c r="IA27" i="33"/>
  <c r="AQ17" i="33"/>
  <c r="HY16" i="33"/>
  <c r="F31" i="24"/>
  <c r="G22" i="33"/>
  <c r="IJ37" i="33"/>
  <c r="S26" i="24"/>
  <c r="LP22" i="33"/>
  <c r="HF33" i="33"/>
  <c r="J32" i="24"/>
  <c r="H4" i="24"/>
  <c r="Z20" i="33"/>
  <c r="C14" i="24"/>
  <c r="GM22" i="33"/>
  <c r="FT10" i="33"/>
  <c r="GE11" i="33"/>
  <c r="L36" i="24"/>
  <c r="IT17" i="33"/>
  <c r="B27" i="24"/>
  <c r="KD28" i="33"/>
  <c r="HH7" i="33"/>
  <c r="JV27" i="33"/>
  <c r="KO26" i="33"/>
  <c r="CE26" i="33"/>
  <c r="CV7" i="33"/>
  <c r="CN20" i="33"/>
  <c r="JC34" i="33"/>
  <c r="B22" i="24"/>
  <c r="H26" i="24"/>
  <c r="KY28" i="33"/>
  <c r="EH37" i="33"/>
  <c r="F3" i="24"/>
  <c r="KY37" i="33"/>
  <c r="G10" i="24"/>
  <c r="KO34" i="33"/>
  <c r="GE16" i="33"/>
  <c r="FA9" i="33"/>
  <c r="MA5" i="33"/>
  <c r="JC9" i="33"/>
  <c r="D26" i="24"/>
  <c r="O9" i="24"/>
  <c r="L27" i="24"/>
  <c r="HH16" i="33"/>
  <c r="E3" i="24"/>
  <c r="KO4" i="33"/>
  <c r="LH21" i="33"/>
  <c r="CC8" i="33"/>
  <c r="DO17" i="33"/>
  <c r="DG6" i="33"/>
  <c r="CE24" i="33"/>
  <c r="AS15" i="33"/>
  <c r="LP21" i="33"/>
  <c r="LR8" i="33"/>
  <c r="ES36" i="33"/>
  <c r="EJ10" i="33"/>
  <c r="FV30" i="33"/>
  <c r="LH26" i="33"/>
  <c r="G21" i="33"/>
  <c r="FT19" i="33"/>
  <c r="IT8" i="33"/>
  <c r="HQ28" i="33"/>
  <c r="N19" i="24"/>
  <c r="LH17" i="33"/>
  <c r="LR14" i="33"/>
  <c r="HY27" i="33"/>
  <c r="ES5" i="33"/>
  <c r="KW24" i="33"/>
  <c r="KW7" i="33"/>
  <c r="JC4" i="33"/>
  <c r="AI23" i="33"/>
  <c r="IT25" i="33"/>
  <c r="H17" i="24"/>
  <c r="BL20" i="33"/>
  <c r="JM37" i="33"/>
  <c r="N5" i="24"/>
  <c r="CC14" i="33"/>
  <c r="CN13" i="33"/>
  <c r="GE25" i="33"/>
  <c r="BU24" i="33"/>
  <c r="O31" i="24"/>
  <c r="R17" i="24"/>
  <c r="GX14" i="33"/>
  <c r="KW34" i="33"/>
  <c r="R25" i="24"/>
  <c r="E33" i="24"/>
  <c r="GM35" i="33"/>
  <c r="AQ18" i="33"/>
  <c r="FT17" i="33"/>
  <c r="JK15" i="33"/>
  <c r="CC22" i="33"/>
  <c r="GM29" i="33"/>
  <c r="BJ5" i="33"/>
  <c r="I18" i="24"/>
  <c r="LP29" i="33"/>
  <c r="AI14" i="33"/>
  <c r="H18" i="24"/>
  <c r="LH27" i="33"/>
  <c r="P7" i="24"/>
  <c r="HQ6" i="33"/>
  <c r="B10" i="24"/>
  <c r="IR30" i="33"/>
  <c r="GE27" i="33"/>
  <c r="GX6" i="33"/>
  <c r="JK5" i="33"/>
  <c r="FC30" i="33"/>
  <c r="FT24" i="33"/>
  <c r="Z21" i="33"/>
  <c r="IT13" i="33"/>
  <c r="HF11" i="33"/>
  <c r="B34" i="24"/>
  <c r="JC18" i="33"/>
  <c r="DZ22" i="33"/>
  <c r="GE10" i="33"/>
  <c r="BU15" i="33"/>
  <c r="BL32" i="33"/>
  <c r="Z32" i="33"/>
  <c r="H32" i="24"/>
  <c r="BL29" i="33"/>
  <c r="R14" i="24"/>
  <c r="AQ7" i="33"/>
  <c r="CV35" i="33"/>
  <c r="D19" i="24"/>
  <c r="JV17" i="33"/>
  <c r="JK28" i="33"/>
  <c r="CV16" i="33"/>
  <c r="O23" i="24"/>
  <c r="KY19" i="33"/>
  <c r="LR31" i="33"/>
  <c r="BU36" i="33"/>
  <c r="EJ7" i="33"/>
  <c r="S36" i="24"/>
  <c r="JM24" i="33"/>
  <c r="KW6" i="33"/>
  <c r="JK27" i="33"/>
  <c r="H12" i="24"/>
  <c r="Q34" i="24"/>
  <c r="M26" i="24"/>
  <c r="ES26" i="33"/>
  <c r="R3" i="24"/>
  <c r="O36" i="24"/>
  <c r="M23" i="24"/>
  <c r="IR16" i="33"/>
  <c r="BB36" i="33"/>
  <c r="KO37" i="33"/>
  <c r="MA33" i="33"/>
  <c r="N16" i="24"/>
  <c r="HH8" i="33"/>
  <c r="HF24" i="33"/>
  <c r="FC8" i="33"/>
  <c r="G29" i="24"/>
  <c r="E6" i="24"/>
  <c r="EJ37" i="33"/>
  <c r="DG17" i="33"/>
  <c r="GM28" i="33"/>
  <c r="CX35" i="33"/>
  <c r="DZ26" i="33"/>
  <c r="IT35" i="33"/>
  <c r="KY29" i="33"/>
  <c r="G28" i="33"/>
  <c r="FT18" i="33"/>
  <c r="CX33" i="33"/>
  <c r="P24" i="33"/>
  <c r="O7" i="24"/>
  <c r="JV7" i="33"/>
  <c r="JK29" i="33"/>
  <c r="DO27" i="33"/>
  <c r="M11" i="24"/>
  <c r="KO20" i="33"/>
  <c r="Z24" i="33"/>
  <c r="HH15" i="33"/>
  <c r="CV27" i="33"/>
  <c r="X33" i="33"/>
  <c r="Q25" i="24"/>
  <c r="LH8" i="33"/>
  <c r="CV30" i="33"/>
  <c r="DG24" i="33"/>
  <c r="BJ9" i="33"/>
  <c r="E22" i="33"/>
  <c r="L23" i="24"/>
  <c r="CE17" i="33"/>
  <c r="JV9" i="33"/>
  <c r="HH11" i="33"/>
  <c r="CC28" i="33"/>
  <c r="FC23" i="33"/>
  <c r="K7" i="24"/>
  <c r="HY11" i="33"/>
  <c r="EH29" i="33"/>
  <c r="DG4" i="33"/>
  <c r="N10" i="24"/>
  <c r="B9" i="24"/>
  <c r="FV11" i="33"/>
  <c r="GE13" i="33"/>
  <c r="HQ17" i="33"/>
  <c r="D27" i="24"/>
  <c r="CC12" i="33"/>
  <c r="IJ27" i="33"/>
  <c r="KO19" i="33"/>
  <c r="JC20" i="33"/>
  <c r="BU30" i="33"/>
  <c r="N13" i="24"/>
  <c r="CC25" i="33"/>
  <c r="IA8" i="33"/>
  <c r="Z35" i="33"/>
  <c r="LP20" i="33"/>
  <c r="X31" i="33"/>
  <c r="DO12" i="33"/>
  <c r="KF18" i="33"/>
  <c r="Z37" i="33"/>
  <c r="FL13" i="33"/>
  <c r="LH35" i="33"/>
  <c r="LH31" i="33"/>
  <c r="DO31" i="33"/>
  <c r="L9" i="24"/>
  <c r="IT28" i="33"/>
  <c r="KW37" i="33"/>
  <c r="AS35" i="33"/>
  <c r="K12" i="24"/>
  <c r="GO26" i="33"/>
  <c r="JK21" i="33"/>
  <c r="KO9" i="33"/>
  <c r="LR21" i="33"/>
  <c r="C20" i="24"/>
  <c r="Q14" i="24"/>
  <c r="LH25" i="33"/>
  <c r="KO25" i="33"/>
  <c r="CN15" i="33"/>
  <c r="G33" i="24"/>
  <c r="CC5" i="33"/>
  <c r="CE20" i="33"/>
  <c r="BL31" i="33"/>
  <c r="F9" i="24"/>
  <c r="AS31" i="33"/>
  <c r="E10" i="24"/>
  <c r="L25" i="24"/>
  <c r="JV19" i="33"/>
  <c r="H21" i="24"/>
  <c r="E7" i="33"/>
  <c r="JK10" i="33"/>
  <c r="F5" i="24"/>
  <c r="DG23" i="33"/>
  <c r="JM10" i="33"/>
  <c r="M5" i="24"/>
  <c r="HY18" i="33"/>
  <c r="FT29" i="33"/>
  <c r="LH16" i="33"/>
  <c r="FL27" i="33"/>
  <c r="EH28" i="33"/>
  <c r="P34" i="24"/>
  <c r="GM8" i="33"/>
  <c r="S32" i="24"/>
  <c r="FL23" i="33"/>
  <c r="GX17" i="33"/>
  <c r="DO30" i="33"/>
  <c r="P31" i="33"/>
  <c r="AQ33" i="33"/>
  <c r="FL9" i="33"/>
  <c r="K26" i="24"/>
  <c r="KW9" i="33"/>
  <c r="CX5" i="33"/>
  <c r="ES19" i="33"/>
  <c r="FA28" i="33"/>
  <c r="GE12" i="33"/>
  <c r="DG22" i="33"/>
  <c r="FV7" i="33"/>
  <c r="KW29" i="33"/>
  <c r="GX36" i="33"/>
  <c r="LR35" i="33"/>
  <c r="BJ25" i="33"/>
  <c r="FT7" i="33"/>
  <c r="I34" i="24"/>
  <c r="CE32" i="33"/>
  <c r="J24" i="24"/>
  <c r="AI37" i="33"/>
  <c r="DQ16" i="33"/>
  <c r="AI9" i="33"/>
  <c r="G7" i="33"/>
  <c r="Z19" i="33"/>
  <c r="E9" i="33"/>
  <c r="HQ16" i="33"/>
  <c r="JV4" i="33"/>
  <c r="H10" i="24"/>
  <c r="D25" i="24"/>
  <c r="IR11" i="33"/>
  <c r="HH27" i="33"/>
  <c r="F10" i="24"/>
  <c r="AI32" i="33"/>
  <c r="X36" i="33"/>
  <c r="IA9" i="33"/>
  <c r="Q15" i="24"/>
  <c r="KO6" i="33"/>
  <c r="KW18" i="33"/>
  <c r="H16" i="24"/>
  <c r="BL26" i="33"/>
  <c r="F26" i="24"/>
  <c r="HY30" i="33"/>
  <c r="KO15" i="33"/>
  <c r="AS32" i="33"/>
  <c r="BU21" i="33"/>
  <c r="EH6" i="33"/>
  <c r="KW25" i="33"/>
  <c r="DQ7" i="33"/>
  <c r="B20" i="24"/>
  <c r="HQ29" i="33"/>
  <c r="DZ4" i="33"/>
  <c r="JC27" i="33"/>
  <c r="JM30" i="33"/>
  <c r="HQ15" i="33"/>
  <c r="HY31" i="33"/>
  <c r="Q27" i="24"/>
  <c r="HY12" i="33"/>
  <c r="KW30" i="33"/>
  <c r="FT8" i="33"/>
  <c r="K6" i="24"/>
  <c r="AI22" i="33"/>
  <c r="R6" i="24"/>
  <c r="BU17" i="33"/>
  <c r="O35" i="24"/>
  <c r="P18" i="24"/>
  <c r="CC11" i="33"/>
  <c r="Q36" i="24"/>
  <c r="G18" i="24"/>
  <c r="DG36" i="33"/>
  <c r="G37" i="33"/>
  <c r="HH32" i="33"/>
  <c r="P17" i="33"/>
  <c r="P22" i="33"/>
  <c r="BU23" i="33"/>
  <c r="G17" i="24"/>
  <c r="BU13" i="33"/>
  <c r="AI10" i="33"/>
  <c r="GO12" i="33"/>
  <c r="FA31" i="33"/>
  <c r="IJ18" i="33"/>
  <c r="IT33" i="33"/>
  <c r="FV27" i="33"/>
  <c r="DO5" i="33"/>
  <c r="CX36" i="33"/>
  <c r="M17" i="24"/>
  <c r="FA23" i="33"/>
  <c r="EJ17" i="33"/>
  <c r="FL29" i="33"/>
  <c r="CE10" i="33"/>
  <c r="EH33" i="33"/>
  <c r="CN31" i="33"/>
  <c r="S23" i="24"/>
  <c r="P4" i="24"/>
  <c r="EJ19" i="33"/>
  <c r="I16" i="24"/>
  <c r="CX37" i="33"/>
  <c r="BL6" i="33"/>
  <c r="N24" i="24"/>
  <c r="MA6" i="33"/>
  <c r="JC28" i="33"/>
  <c r="DZ17" i="33"/>
  <c r="BL37" i="33"/>
  <c r="S11" i="24"/>
  <c r="CN18" i="33"/>
  <c r="E20" i="33"/>
  <c r="DO34" i="33"/>
  <c r="BU34" i="33"/>
  <c r="KW22" i="33"/>
  <c r="N12" i="24"/>
  <c r="KO35" i="33"/>
  <c r="M12" i="24"/>
  <c r="FA24" i="33"/>
  <c r="DZ23" i="33"/>
  <c r="FL24" i="33"/>
  <c r="E10" i="33"/>
  <c r="O33" i="24"/>
  <c r="DQ18" i="33"/>
  <c r="CE18" i="33"/>
  <c r="FC21" i="33"/>
  <c r="DO26" i="33"/>
  <c r="E37" i="33"/>
  <c r="B35" i="24"/>
  <c r="FL34" i="33"/>
  <c r="DZ11" i="33"/>
  <c r="KY25" i="33"/>
  <c r="FA21" i="33"/>
  <c r="N27" i="24"/>
  <c r="DZ29" i="33"/>
  <c r="GM18" i="33"/>
  <c r="CV6" i="33"/>
  <c r="J16" i="24"/>
  <c r="CN14" i="33"/>
  <c r="AS23" i="33"/>
  <c r="IT36" i="33"/>
  <c r="B5" i="24"/>
  <c r="CN23" i="33"/>
  <c r="KO31" i="33"/>
  <c r="CX27" i="33"/>
  <c r="KY14" i="33"/>
  <c r="M7" i="24"/>
  <c r="DZ24" i="33"/>
  <c r="IR15" i="33"/>
  <c r="M21" i="24"/>
  <c r="CC32" i="33"/>
  <c r="K10" i="24"/>
  <c r="KD20" i="33"/>
  <c r="E13" i="33"/>
  <c r="F20" i="24"/>
  <c r="K28" i="24"/>
  <c r="FA8" i="33"/>
  <c r="EH5" i="33"/>
  <c r="GX27" i="33"/>
  <c r="HY5" i="33"/>
  <c r="CC7" i="33"/>
  <c r="MA11" i="33"/>
  <c r="G30" i="24"/>
  <c r="Q4" i="24"/>
  <c r="LP31" i="33"/>
  <c r="E18" i="24"/>
  <c r="B16" i="24"/>
  <c r="FC19" i="33"/>
  <c r="AI34" i="33"/>
  <c r="GM23" i="33"/>
  <c r="Q11" i="24"/>
  <c r="GO32" i="33"/>
  <c r="IR35" i="33"/>
  <c r="N33" i="24"/>
  <c r="EJ33" i="33"/>
  <c r="N21" i="24"/>
  <c r="CE29" i="33"/>
  <c r="K11" i="24"/>
  <c r="KY12" i="33"/>
  <c r="CC33" i="33"/>
  <c r="GE29" i="33"/>
  <c r="R26" i="24"/>
  <c r="FV28" i="33"/>
  <c r="JC21" i="33"/>
  <c r="AS21" i="33"/>
  <c r="C31" i="24"/>
  <c r="F22" i="24"/>
  <c r="C15" i="24"/>
  <c r="E17" i="24"/>
  <c r="EJ15" i="33"/>
  <c r="ES8" i="33"/>
  <c r="I7" i="24"/>
  <c r="GX33" i="33"/>
  <c r="AI8" i="33"/>
  <c r="P20" i="24"/>
  <c r="FT12" i="33"/>
  <c r="FT32" i="33"/>
  <c r="GM13" i="33"/>
  <c r="IJ9" i="33"/>
  <c r="L26" i="24"/>
  <c r="G6" i="24"/>
  <c r="CN35" i="33"/>
  <c r="DO14" i="33"/>
  <c r="IA4" i="33"/>
  <c r="D18" i="24"/>
  <c r="DZ8" i="33"/>
  <c r="AS11" i="33"/>
  <c r="R4" i="24"/>
  <c r="R27" i="24"/>
  <c r="BU35" i="33"/>
  <c r="DQ32" i="33"/>
  <c r="CC35" i="33"/>
  <c r="JV24" i="33"/>
  <c r="N22" i="24"/>
  <c r="FV12" i="33"/>
  <c r="Q5" i="24"/>
  <c r="CC20" i="33"/>
  <c r="G34" i="24"/>
  <c r="BL5" i="33"/>
  <c r="LP7" i="33"/>
  <c r="C35" i="24"/>
  <c r="DQ31" i="33"/>
  <c r="JV20" i="33"/>
  <c r="DZ25" i="33"/>
  <c r="F24" i="24"/>
  <c r="CE22" i="33"/>
  <c r="EH12" i="33"/>
  <c r="GE14" i="33"/>
  <c r="ES35" i="33"/>
  <c r="C18" i="24"/>
  <c r="M34" i="24"/>
  <c r="K17" i="24"/>
  <c r="S10" i="24"/>
  <c r="D16" i="24"/>
  <c r="HQ30" i="33"/>
  <c r="R13" i="24"/>
  <c r="L34" i="24"/>
  <c r="CN21" i="33"/>
  <c r="BL14" i="33"/>
  <c r="EH27" i="33"/>
  <c r="BU5" i="33"/>
  <c r="GX7" i="33"/>
  <c r="FC22" i="33"/>
  <c r="KO30" i="33"/>
  <c r="CV24" i="33"/>
  <c r="LR17" i="33"/>
  <c r="LR33" i="33"/>
  <c r="O30" i="24"/>
  <c r="FC15" i="33"/>
  <c r="F4" i="24"/>
  <c r="JK7" i="33"/>
  <c r="DQ28" i="33"/>
  <c r="AI28" i="33"/>
  <c r="C10" i="24"/>
  <c r="IT24" i="33"/>
  <c r="EH11" i="33"/>
  <c r="CC36" i="33"/>
  <c r="BB24" i="33"/>
  <c r="LR37" i="33"/>
  <c r="HQ37" i="33"/>
  <c r="KY33" i="33"/>
  <c r="JV11" i="33"/>
  <c r="O3" i="24"/>
  <c r="G35" i="33"/>
  <c r="X23" i="33"/>
  <c r="O11" i="24"/>
  <c r="FC34" i="33"/>
  <c r="LH23" i="33"/>
  <c r="CC18" i="33"/>
  <c r="G33" i="33"/>
  <c r="F14" i="24"/>
  <c r="IR14" i="33"/>
  <c r="KF11" i="33"/>
  <c r="EH24" i="33"/>
  <c r="CN37" i="33"/>
  <c r="G14" i="24"/>
  <c r="LH9" i="33"/>
  <c r="I36" i="24"/>
  <c r="Q28" i="24"/>
  <c r="Z8" i="33"/>
  <c r="AQ10" i="33"/>
  <c r="JK36" i="33"/>
  <c r="AI16" i="33"/>
  <c r="P21" i="24"/>
  <c r="N36" i="24"/>
  <c r="KD31" i="33"/>
  <c r="BU4" i="33"/>
  <c r="GE8" i="33"/>
  <c r="O29" i="24"/>
  <c r="Q18" i="24"/>
  <c r="G19" i="33"/>
  <c r="DG9" i="33"/>
  <c r="FL31" i="33"/>
  <c r="J21" i="24"/>
  <c r="DG33" i="33"/>
  <c r="KO14" i="33"/>
  <c r="BB20" i="33"/>
  <c r="Q21" i="24"/>
  <c r="H29" i="24"/>
  <c r="DO11" i="33"/>
  <c r="DG21" i="33"/>
  <c r="KF28" i="33"/>
  <c r="HQ13" i="33"/>
  <c r="D21" i="24"/>
  <c r="Q8" i="24"/>
  <c r="KY35" i="33"/>
  <c r="KY23" i="33"/>
  <c r="AS9" i="33"/>
  <c r="CC23" i="33"/>
  <c r="G15" i="33"/>
  <c r="X18" i="33"/>
  <c r="BJ6" i="33"/>
  <c r="K13" i="24"/>
  <c r="AQ23" i="33"/>
  <c r="LP32" i="33"/>
  <c r="P36" i="24"/>
  <c r="C25" i="24"/>
  <c r="KF15" i="33"/>
  <c r="JM14" i="33"/>
  <c r="CX15" i="33"/>
  <c r="IA35" i="33"/>
  <c r="Z33" i="33"/>
  <c r="ES31" i="33"/>
  <c r="IR10" i="33"/>
  <c r="IA24" i="33"/>
  <c r="LP13" i="33"/>
  <c r="K36" i="24"/>
  <c r="IA34" i="33"/>
  <c r="ES4" i="33"/>
  <c r="AQ28" i="33"/>
  <c r="LR9" i="33"/>
  <c r="GX35" i="33"/>
  <c r="B15" i="24"/>
  <c r="HY17" i="33"/>
  <c r="JM25" i="33"/>
  <c r="EJ21" i="33"/>
  <c r="G24" i="33"/>
  <c r="DO8" i="33"/>
  <c r="GM24" i="33"/>
  <c r="KY13" i="33"/>
  <c r="ES7" i="33"/>
  <c r="D29" i="24"/>
  <c r="BL10" i="33"/>
  <c r="I21" i="24"/>
  <c r="G3" i="24"/>
  <c r="BB9" i="33"/>
  <c r="D17" i="24"/>
  <c r="IR18" i="33"/>
  <c r="J7" i="24"/>
  <c r="IR4" i="33"/>
  <c r="CC17" i="33"/>
  <c r="N18" i="24"/>
  <c r="MA17" i="33"/>
  <c r="HY21" i="33"/>
  <c r="DQ30" i="33"/>
  <c r="EJ31" i="33"/>
  <c r="Z13" i="33"/>
  <c r="DO25" i="33"/>
  <c r="GX15" i="33"/>
  <c r="KY5" i="33"/>
  <c r="Q23" i="24"/>
  <c r="R32" i="24"/>
  <c r="S19" i="24"/>
  <c r="P27" i="33"/>
  <c r="EH34" i="33"/>
  <c r="LP19" i="33"/>
  <c r="AQ29" i="33"/>
  <c r="KO5" i="33"/>
  <c r="ES9" i="33"/>
  <c r="FV20" i="33"/>
  <c r="DG19" i="33"/>
  <c r="EH31" i="33"/>
  <c r="Z30" i="33"/>
  <c r="IJ35" i="33"/>
  <c r="FA6" i="33"/>
  <c r="CX7" i="33"/>
  <c r="CV36" i="33"/>
  <c r="DZ6" i="33"/>
  <c r="C22" i="24"/>
  <c r="BL15" i="33"/>
  <c r="DQ20" i="33"/>
  <c r="J31" i="24"/>
  <c r="DG20" i="33"/>
  <c r="I30" i="24"/>
  <c r="P5" i="33"/>
  <c r="E16" i="33"/>
  <c r="EH17" i="33"/>
  <c r="HH35" i="33"/>
  <c r="N29" i="24"/>
  <c r="MA19" i="33"/>
  <c r="CX24" i="33"/>
  <c r="O14" i="24"/>
  <c r="S28" i="24"/>
  <c r="IA18" i="33"/>
  <c r="AI30" i="33"/>
  <c r="Z28" i="33"/>
  <c r="IR8" i="33"/>
  <c r="E12" i="33"/>
  <c r="FV4" i="33"/>
  <c r="CX29" i="33"/>
  <c r="GO10" i="33"/>
  <c r="R11" i="24"/>
  <c r="K16" i="24"/>
  <c r="BU19" i="33"/>
  <c r="EJ27" i="33"/>
  <c r="CN22" i="33"/>
  <c r="KO12" i="33"/>
  <c r="D35" i="24"/>
  <c r="FA5" i="33"/>
  <c r="N34" i="24"/>
  <c r="FL15" i="33"/>
  <c r="P9" i="24"/>
  <c r="CN10" i="33"/>
  <c r="I28" i="24"/>
  <c r="DG30" i="33"/>
  <c r="DQ9" i="33"/>
  <c r="EH10" i="33"/>
  <c r="KO23" i="33"/>
  <c r="CV18" i="33"/>
  <c r="DQ17" i="33"/>
  <c r="H28" i="24"/>
  <c r="HY32" i="33"/>
  <c r="S20" i="24"/>
  <c r="FL36" i="33"/>
  <c r="LP33" i="33"/>
  <c r="KF34" i="33"/>
  <c r="KF20" i="33"/>
  <c r="AS37" i="33"/>
  <c r="GM9" i="33"/>
  <c r="AQ25" i="33"/>
  <c r="KF31" i="33"/>
  <c r="G30" i="33"/>
  <c r="EH21" i="33"/>
  <c r="LR4" i="33"/>
  <c r="KF26" i="33"/>
  <c r="G34" i="33"/>
  <c r="AQ22" i="33"/>
  <c r="J29" i="24"/>
  <c r="AI7" i="33"/>
  <c r="FA20" i="33"/>
  <c r="FA14" i="33"/>
  <c r="HY23" i="33"/>
  <c r="R24" i="24"/>
  <c r="IJ19" i="33"/>
  <c r="JV25" i="33"/>
  <c r="BB34" i="33"/>
  <c r="R34" i="24"/>
  <c r="ES25" i="33"/>
  <c r="F17" i="24"/>
  <c r="BU7" i="33"/>
  <c r="IT16" i="33"/>
  <c r="MA31" i="33"/>
  <c r="BJ35" i="33"/>
  <c r="KD36" i="33"/>
  <c r="MA10" i="33"/>
  <c r="D15" i="24"/>
  <c r="G10" i="33"/>
  <c r="HQ8" i="33"/>
  <c r="S24" i="24"/>
  <c r="JV18" i="33"/>
  <c r="HF6" i="33"/>
  <c r="GM31" i="33"/>
  <c r="JV29" i="33"/>
  <c r="EH7" i="33"/>
  <c r="I8" i="24"/>
  <c r="BU31" i="33"/>
  <c r="AS10" i="33"/>
  <c r="FC25" i="33"/>
  <c r="KY9" i="33"/>
  <c r="EH8" i="33"/>
  <c r="EH9" i="33"/>
  <c r="KD30" i="33"/>
  <c r="BU25" i="33"/>
  <c r="FA7" i="33"/>
  <c r="HY15" i="33"/>
  <c r="BL4" i="33"/>
  <c r="E15" i="24"/>
  <c r="X12" i="33"/>
  <c r="E34" i="33"/>
  <c r="C26" i="24"/>
  <c r="JC5" i="33"/>
  <c r="KD19" i="33"/>
  <c r="HF29" i="33"/>
  <c r="KF21" i="33"/>
  <c r="O32" i="24"/>
  <c r="GM30" i="33"/>
  <c r="JM5" i="33"/>
  <c r="MA16" i="33"/>
  <c r="CE27" i="33"/>
  <c r="EJ16" i="33"/>
  <c r="BJ16" i="33"/>
  <c r="MA25" i="33"/>
  <c r="D32" i="24"/>
  <c r="CN8" i="33"/>
  <c r="JV31" i="33"/>
  <c r="FT34" i="33"/>
  <c r="L16" i="24"/>
  <c r="P32" i="24"/>
  <c r="GO18" i="33"/>
  <c r="K21" i="24"/>
  <c r="CV5" i="33"/>
  <c r="S30" i="24"/>
  <c r="DQ22" i="33"/>
  <c r="BB12" i="33"/>
  <c r="DZ15" i="33"/>
  <c r="KD13" i="33"/>
  <c r="AQ8" i="33"/>
  <c r="E28" i="24"/>
  <c r="B30" i="24"/>
  <c r="IT22" i="33"/>
  <c r="AS14" i="33"/>
  <c r="N25" i="24"/>
  <c r="N35" i="24"/>
  <c r="BJ14" i="33"/>
  <c r="G16" i="33"/>
  <c r="AI20" i="33"/>
  <c r="G27" i="24"/>
  <c r="FL20" i="33"/>
  <c r="GE4" i="33"/>
  <c r="ES6" i="33"/>
  <c r="KW12" i="33"/>
  <c r="JC13" i="33"/>
  <c r="LH29" i="33"/>
  <c r="FL25" i="33"/>
  <c r="DZ7" i="33"/>
  <c r="IR20" i="33"/>
  <c r="JC10" i="33"/>
  <c r="FA27" i="33"/>
  <c r="BB5" i="33"/>
  <c r="GM17" i="33"/>
  <c r="J27" i="24"/>
  <c r="HF9" i="33"/>
  <c r="O20" i="24"/>
  <c r="JM27" i="33"/>
  <c r="P17" i="24"/>
  <c r="GX8" i="33"/>
  <c r="GE28" i="33"/>
  <c r="ES20" i="33"/>
  <c r="GE23" i="33"/>
  <c r="AS27" i="33"/>
  <c r="BL17" i="33"/>
  <c r="E5" i="24"/>
  <c r="AQ26" i="33"/>
  <c r="KD10" i="33"/>
  <c r="HY14" i="33"/>
  <c r="F19" i="24"/>
  <c r="B3" i="24"/>
  <c r="HH4" i="33"/>
  <c r="M15" i="24"/>
  <c r="CN34" i="33"/>
  <c r="FV24" i="33"/>
  <c r="P19" i="33"/>
  <c r="AI18" i="33"/>
  <c r="GM27" i="33"/>
  <c r="E32" i="24"/>
  <c r="MA21" i="33"/>
  <c r="GM36" i="33"/>
  <c r="JK23" i="33"/>
  <c r="GO27" i="33"/>
  <c r="FA4" i="33"/>
  <c r="MA7" i="33"/>
  <c r="FL28" i="33"/>
  <c r="G31" i="24"/>
  <c r="IT37" i="33"/>
  <c r="JK12" i="33"/>
  <c r="S6" i="24"/>
  <c r="N17" i="24"/>
  <c r="DO10" i="33"/>
  <c r="KD18" i="33"/>
  <c r="KF29" i="33"/>
  <c r="BB13" i="33"/>
  <c r="DZ28" i="33"/>
  <c r="FC6" i="33"/>
  <c r="HF30" i="33"/>
  <c r="D28" i="24"/>
  <c r="HF12" i="33"/>
  <c r="Z18" i="33"/>
  <c r="KD5" i="33"/>
  <c r="JV15" i="33"/>
  <c r="X34" i="33"/>
  <c r="G6" i="33"/>
  <c r="CX30" i="33"/>
  <c r="N3" i="24"/>
  <c r="CE21" i="33"/>
  <c r="DG27" i="33"/>
  <c r="O5" i="24"/>
  <c r="KD33" i="33"/>
  <c r="I3" i="24"/>
  <c r="KD16" i="33"/>
  <c r="BL18" i="33"/>
  <c r="E36" i="33"/>
  <c r="JC8" i="33"/>
  <c r="KY7" i="33"/>
  <c r="I12" i="24"/>
  <c r="R10" i="24"/>
  <c r="KF12" i="33"/>
  <c r="EJ36" i="33"/>
  <c r="HH9" i="33"/>
  <c r="O27" i="24"/>
  <c r="X19" i="33"/>
  <c r="Z26" i="33"/>
  <c r="LH5" i="33"/>
  <c r="G32" i="24"/>
  <c r="IJ36" i="33"/>
  <c r="C21" i="24"/>
  <c r="FV14" i="33"/>
  <c r="MA12" i="33"/>
  <c r="JV12" i="33"/>
  <c r="D22" i="24"/>
  <c r="J25" i="24"/>
  <c r="FV10" i="33"/>
  <c r="ES30" i="33"/>
  <c r="C16" i="24"/>
  <c r="H31" i="24"/>
  <c r="K23" i="24"/>
  <c r="HH18" i="33"/>
  <c r="DO7" i="33"/>
  <c r="FA37" i="33"/>
  <c r="HY10" i="33"/>
  <c r="Z4" i="33"/>
  <c r="CX4" i="33"/>
  <c r="C36" i="24"/>
  <c r="JC36" i="33"/>
  <c r="KF14" i="33"/>
  <c r="MA14" i="33"/>
  <c r="LP25" i="33"/>
  <c r="EJ24" i="33"/>
  <c r="BL11" i="33"/>
  <c r="S4" i="24"/>
  <c r="R23" i="24"/>
  <c r="IA26" i="33"/>
  <c r="IT32" i="33"/>
  <c r="O6" i="24"/>
  <c r="P31" i="24"/>
  <c r="FC9" i="33"/>
  <c r="CV10" i="33"/>
  <c r="KY31" i="33"/>
  <c r="FL8" i="33"/>
  <c r="AQ14" i="33"/>
  <c r="BL25" i="33"/>
  <c r="N23" i="24"/>
  <c r="LR11" i="33"/>
  <c r="KY20" i="33"/>
  <c r="J20" i="24"/>
  <c r="M6" i="24"/>
  <c r="CE13" i="33"/>
  <c r="IR19" i="33"/>
  <c r="DO24" i="33"/>
  <c r="M18" i="24"/>
  <c r="AS22" i="33"/>
  <c r="BJ4" i="33"/>
  <c r="GO15" i="33"/>
  <c r="K29" i="24"/>
  <c r="GX18" i="33"/>
  <c r="LR25" i="33"/>
  <c r="B7" i="24"/>
  <c r="F8" i="24"/>
  <c r="MA18" i="33"/>
  <c r="GM11" i="33"/>
  <c r="KF4" i="33"/>
  <c r="G25" i="33"/>
  <c r="AS4" i="33"/>
  <c r="E27" i="33"/>
  <c r="O22" i="24"/>
  <c r="FA17" i="33"/>
  <c r="KW23" i="33"/>
  <c r="FL21" i="33"/>
  <c r="I23" i="24"/>
  <c r="G4" i="33"/>
  <c r="FT16" i="33"/>
  <c r="CN17" i="33"/>
  <c r="IA23" i="33"/>
  <c r="E26" i="24"/>
  <c r="DZ19" i="33"/>
  <c r="L33" i="24"/>
  <c r="FA33" i="33"/>
  <c r="JK19" i="33"/>
  <c r="CN27" i="33"/>
  <c r="L21" i="24"/>
  <c r="GO34" i="33"/>
  <c r="JV30" i="33"/>
  <c r="D24" i="24"/>
  <c r="IJ17" i="33"/>
  <c r="IR21" i="33"/>
  <c r="K15" i="24"/>
  <c r="O13" i="24"/>
  <c r="JM35" i="33"/>
  <c r="IA36" i="33"/>
  <c r="HQ33" i="33"/>
  <c r="HF21" i="33"/>
  <c r="KY10" i="33"/>
  <c r="HQ4" i="33"/>
  <c r="BB27" i="33"/>
  <c r="HH37" i="33"/>
  <c r="Q13" i="24"/>
  <c r="P22" i="24"/>
  <c r="P8" i="24"/>
  <c r="DQ21" i="33"/>
  <c r="B21" i="24"/>
  <c r="L14" i="24"/>
  <c r="BJ19" i="33"/>
  <c r="JM18" i="33"/>
  <c r="JM29" i="33"/>
  <c r="KD9" i="33"/>
  <c r="L6" i="24"/>
  <c r="L12" i="24"/>
  <c r="HY36" i="33"/>
  <c r="KW16" i="33"/>
  <c r="CX34" i="33"/>
  <c r="FL12" i="33"/>
  <c r="G14" i="33"/>
  <c r="P12" i="33"/>
  <c r="FA29" i="33"/>
  <c r="KY27" i="33"/>
  <c r="KW33" i="33"/>
  <c r="S17" i="24"/>
  <c r="O8" i="24"/>
  <c r="CN19" i="33"/>
  <c r="AS34" i="33"/>
  <c r="DG25" i="33"/>
  <c r="HF26" i="33"/>
  <c r="FT15" i="33"/>
  <c r="IA7" i="33"/>
  <c r="HQ9" i="33"/>
  <c r="KO21" i="33"/>
  <c r="DQ15" i="33"/>
  <c r="CV4" i="33"/>
  <c r="GE22" i="33"/>
  <c r="DG12" i="33"/>
  <c r="LP8" i="33"/>
  <c r="FC26" i="33"/>
  <c r="DZ31" i="33"/>
  <c r="KF23" i="33"/>
  <c r="L4" i="24"/>
  <c r="AQ27" i="33"/>
  <c r="P15" i="24"/>
  <c r="C12" i="24"/>
  <c r="HY8" i="33"/>
  <c r="X24" i="33"/>
  <c r="BU20" i="33"/>
  <c r="GX12" i="33"/>
  <c r="J10" i="24"/>
  <c r="BB37" i="33"/>
  <c r="DO35" i="33"/>
  <c r="FV5" i="33"/>
  <c r="P29" i="24"/>
  <c r="KO29" i="33"/>
  <c r="LP16" i="33"/>
  <c r="DZ36" i="33"/>
  <c r="BU33" i="33"/>
  <c r="ES21" i="33"/>
  <c r="X37" i="33"/>
  <c r="KD4" i="33"/>
  <c r="DG8" i="33"/>
  <c r="CE4" i="33"/>
  <c r="AS25" i="33"/>
  <c r="KY18" i="33"/>
  <c r="DO21" i="33"/>
  <c r="HQ27" i="33"/>
  <c r="FL14" i="33"/>
  <c r="KO13" i="33"/>
  <c r="M36" i="24"/>
  <c r="HQ20" i="33"/>
  <c r="IA37" i="33"/>
  <c r="LR34" i="33"/>
  <c r="GO19" i="33"/>
  <c r="E24" i="33"/>
  <c r="K19" i="24"/>
  <c r="X4" i="33"/>
  <c r="C32" i="24"/>
  <c r="LH18" i="33"/>
  <c r="KW21" i="33"/>
  <c r="J33" i="24"/>
  <c r="BB4" i="33"/>
  <c r="EH22" i="33"/>
  <c r="G17" i="33"/>
  <c r="BL30" i="33"/>
  <c r="JC16" i="33"/>
  <c r="KD32" i="33"/>
  <c r="CC19" i="33"/>
  <c r="FV26" i="33"/>
  <c r="O16" i="24"/>
  <c r="J35" i="24"/>
  <c r="BB22" i="33"/>
  <c r="O4" i="24"/>
  <c r="LH14" i="33"/>
  <c r="LP37" i="33"/>
  <c r="KO24" i="33"/>
  <c r="HF4" i="33"/>
  <c r="G36" i="24"/>
  <c r="C17" i="24"/>
  <c r="KF35" i="33"/>
  <c r="H11" i="24"/>
  <c r="CV21" i="33"/>
  <c r="FC12" i="33"/>
  <c r="CN12" i="33"/>
  <c r="BJ11" i="33"/>
  <c r="EJ28" i="33"/>
  <c r="K25" i="24"/>
  <c r="H20" i="24"/>
  <c r="AQ16" i="33"/>
  <c r="P19" i="24"/>
  <c r="HY25" i="33"/>
  <c r="BB8" i="33"/>
  <c r="JC14" i="33"/>
  <c r="R21" i="24"/>
  <c r="E21" i="33"/>
  <c r="HQ24" i="33"/>
  <c r="AI5" i="33"/>
  <c r="AQ34" i="33"/>
  <c r="HQ35" i="33"/>
  <c r="AI26" i="33"/>
  <c r="Z14" i="33"/>
  <c r="KF17" i="33"/>
  <c r="AS8" i="33"/>
  <c r="G9" i="24"/>
  <c r="HH30" i="33"/>
  <c r="P5" i="24"/>
  <c r="S15" i="24"/>
  <c r="LP27" i="33"/>
  <c r="GO33" i="33"/>
  <c r="R20" i="24"/>
  <c r="MA35" i="33"/>
  <c r="FT28" i="33"/>
  <c r="C29" i="24"/>
  <c r="GO11" i="33"/>
  <c r="LR16" i="33"/>
  <c r="R36" i="24"/>
  <c r="IA32" i="33"/>
  <c r="J8" i="24"/>
  <c r="K32" i="24"/>
  <c r="P15" i="33"/>
  <c r="Q17" i="24"/>
  <c r="JC22" i="33"/>
  <c r="KF24" i="33"/>
  <c r="X25" i="33"/>
  <c r="N4" i="24"/>
  <c r="KW36" i="33"/>
  <c r="FV37" i="33"/>
  <c r="JK18" i="33"/>
  <c r="CC30" i="33"/>
  <c r="E4" i="24"/>
  <c r="IR13" i="33"/>
  <c r="IA19" i="33"/>
  <c r="FA11" i="33"/>
  <c r="IA16" i="33"/>
  <c r="GO36" i="33"/>
  <c r="AI36" i="33"/>
  <c r="EJ22" i="33"/>
  <c r="ES24" i="33"/>
  <c r="BJ24" i="33"/>
  <c r="F6" i="24"/>
  <c r="G24" i="24"/>
  <c r="IT31" i="33"/>
  <c r="G16" i="24"/>
  <c r="X22" i="33"/>
  <c r="P12" i="24"/>
  <c r="IJ6" i="33"/>
  <c r="X29" i="33"/>
  <c r="LR5" i="33"/>
  <c r="LP30" i="33"/>
  <c r="HQ22" i="33"/>
  <c r="BJ27" i="33"/>
  <c r="FT25" i="33"/>
  <c r="S35" i="24"/>
  <c r="IA12" i="33"/>
  <c r="X7" i="33"/>
  <c r="Q6" i="24"/>
  <c r="K30" i="24"/>
  <c r="KD25" i="33"/>
  <c r="CE34" i="33"/>
  <c r="Q30" i="24"/>
  <c r="GO9" i="33"/>
  <c r="K34" i="24"/>
  <c r="E23" i="33"/>
  <c r="AQ31" i="33"/>
  <c r="IA28" i="33"/>
  <c r="Q35" i="24"/>
  <c r="K27" i="24"/>
  <c r="P13" i="33"/>
  <c r="G25" i="24"/>
  <c r="EJ13" i="33"/>
  <c r="JV28" i="33"/>
  <c r="IT6" i="33"/>
  <c r="JM12" i="33"/>
  <c r="FV13" i="33"/>
  <c r="P18" i="33"/>
  <c r="R15" i="24"/>
  <c r="K3" i="24"/>
  <c r="DZ35" i="33"/>
  <c r="JM23" i="33"/>
  <c r="BJ18" i="33"/>
  <c r="JC7" i="33"/>
  <c r="FT14" i="33"/>
  <c r="FC33" i="33"/>
  <c r="B17" i="24"/>
  <c r="BB16" i="33"/>
  <c r="HH14" i="33"/>
  <c r="Z10" i="33"/>
  <c r="IA31" i="33"/>
  <c r="B36" i="24"/>
  <c r="DZ5" i="33"/>
  <c r="S31" i="24"/>
  <c r="JC23" i="33"/>
  <c r="HQ25" i="33"/>
  <c r="E29" i="33"/>
  <c r="EJ11" i="33"/>
  <c r="ES13" i="33"/>
  <c r="JM13" i="33"/>
  <c r="B26" i="24"/>
  <c r="HF7" i="33"/>
  <c r="AI12" i="33"/>
  <c r="J22" i="24"/>
  <c r="BU8" i="33"/>
  <c r="KD23" i="33"/>
  <c r="HH24" i="33"/>
  <c r="KY26" i="33"/>
  <c r="C34" i="24"/>
  <c r="S9" i="24"/>
  <c r="O15" i="24"/>
  <c r="IJ12" i="33"/>
  <c r="GE7" i="33"/>
  <c r="LH36" i="33"/>
  <c r="HQ34" i="33"/>
  <c r="FT35" i="33"/>
  <c r="BL16" i="33"/>
  <c r="BJ13" i="33"/>
  <c r="C3" i="24"/>
  <c r="CX32" i="33"/>
  <c r="CE16" i="33"/>
  <c r="KY24" i="33"/>
  <c r="HQ10" i="33"/>
  <c r="M19" i="24"/>
  <c r="M32" i="24"/>
  <c r="CN26" i="33"/>
  <c r="CN30" i="33"/>
  <c r="IJ34" i="33"/>
  <c r="GO24" i="33"/>
  <c r="FT9" i="33"/>
  <c r="BL35" i="33"/>
  <c r="CV8" i="33"/>
  <c r="CN36" i="33"/>
  <c r="HH5" i="33"/>
  <c r="HY19" i="33"/>
  <c r="GX28" i="33"/>
  <c r="E35" i="24"/>
  <c r="GE6" i="33"/>
  <c r="G12" i="24"/>
  <c r="HF36" i="33"/>
  <c r="JC35" i="33"/>
  <c r="JM31" i="33"/>
  <c r="GM16" i="33"/>
  <c r="DZ9" i="33"/>
  <c r="AS24" i="33"/>
  <c r="CN29" i="33"/>
  <c r="F34" i="24"/>
  <c r="R9" i="24"/>
  <c r="KF9" i="33"/>
  <c r="GO16" i="33"/>
  <c r="P33" i="33"/>
  <c r="JK30" i="33"/>
  <c r="JC6" i="33"/>
  <c r="BB21" i="33"/>
  <c r="IJ33" i="33"/>
  <c r="JK35" i="33"/>
  <c r="I32" i="24"/>
  <c r="R5" i="24"/>
  <c r="GO23" i="33"/>
  <c r="JV32" i="33"/>
  <c r="R35" i="24"/>
  <c r="K8" i="24"/>
  <c r="GE35" i="33"/>
  <c r="CE37" i="33"/>
  <c r="GE26" i="33"/>
  <c r="Q3" i="24"/>
  <c r="P6" i="33"/>
  <c r="F16" i="24"/>
  <c r="CN7" i="33"/>
  <c r="DG13" i="33"/>
  <c r="X35" i="33"/>
  <c r="G12" i="33"/>
  <c r="FL30" i="33"/>
  <c r="CV22" i="33"/>
  <c r="FV31" i="33"/>
  <c r="CC37" i="33"/>
  <c r="AS28" i="33"/>
  <c r="I27" i="24"/>
  <c r="N26" i="24"/>
  <c r="AQ35" i="33"/>
  <c r="AS20" i="33"/>
  <c r="CE23" i="33"/>
  <c r="DG7" i="33"/>
  <c r="AS13" i="33"/>
  <c r="R8" i="24"/>
  <c r="KD7" i="33"/>
  <c r="HH6" i="33"/>
  <c r="P16" i="24"/>
  <c r="CE19" i="33"/>
  <c r="D14" i="24"/>
  <c r="FL7" i="33"/>
  <c r="BL33" i="33"/>
  <c r="E16" i="24"/>
  <c r="GO5" i="33"/>
  <c r="JV8" i="33"/>
  <c r="AI4" i="33"/>
  <c r="E30" i="33"/>
  <c r="HH13" i="33"/>
  <c r="FA15" i="33"/>
  <c r="H19" i="24"/>
  <c r="EH15" i="33"/>
  <c r="EJ8" i="33"/>
  <c r="BU27" i="33"/>
  <c r="HY29" i="33"/>
  <c r="GO7" i="33"/>
  <c r="C6" i="24"/>
  <c r="GE33" i="33"/>
  <c r="ES27" i="33"/>
  <c r="BB30" i="33"/>
  <c r="IJ23" i="33"/>
  <c r="DO32" i="33"/>
  <c r="MA22" i="33"/>
  <c r="JM4" i="33"/>
  <c r="H6" i="24"/>
  <c r="R33" i="24"/>
  <c r="GE32" i="33"/>
  <c r="L7" i="24"/>
  <c r="LR26" i="33"/>
  <c r="BJ36" i="33"/>
  <c r="I5" i="24"/>
  <c r="B24" i="24"/>
  <c r="K22" i="24"/>
  <c r="J17" i="24"/>
  <c r="LH11" i="33"/>
  <c r="O25" i="24"/>
  <c r="O21" i="24"/>
  <c r="JK9" i="33"/>
  <c r="Z15" i="33"/>
  <c r="EH19" i="33"/>
  <c r="KW10" i="33"/>
  <c r="GM37" i="33"/>
  <c r="BB33" i="33"/>
  <c r="IR34" i="33"/>
  <c r="JV33" i="33"/>
  <c r="G19" i="24"/>
  <c r="E22" i="24"/>
  <c r="S22" i="24"/>
  <c r="HH23" i="33"/>
  <c r="EH4" i="33"/>
  <c r="BJ33" i="33"/>
  <c r="KD14" i="33"/>
  <c r="ES37" i="33"/>
  <c r="JV26" i="33"/>
  <c r="G8" i="24"/>
  <c r="N28" i="24"/>
  <c r="IR22" i="33"/>
  <c r="IT15" i="33"/>
  <c r="CX25" i="33"/>
  <c r="LH19" i="33"/>
  <c r="CV23" i="33"/>
  <c r="HF22" i="33"/>
  <c r="B32" i="24"/>
  <c r="C5" i="24"/>
  <c r="JK20" i="33"/>
  <c r="DZ21" i="33"/>
  <c r="H8" i="24"/>
  <c r="BL34" i="33"/>
  <c r="ES10" i="33"/>
  <c r="IT34" i="33"/>
  <c r="Z23" i="33"/>
  <c r="I6" i="24"/>
  <c r="H7" i="24"/>
  <c r="BL27" i="33"/>
  <c r="CC31" i="33"/>
  <c r="KW26" i="33"/>
  <c r="KF33" i="33"/>
  <c r="DQ25" i="33"/>
  <c r="C8" i="24"/>
  <c r="H3" i="24"/>
  <c r="LP28" i="33"/>
  <c r="BL23" i="33"/>
  <c r="LP11" i="33"/>
  <c r="S5" i="24"/>
  <c r="EJ34" i="33"/>
  <c r="DG32" i="33"/>
  <c r="S13" i="24"/>
  <c r="GE21" i="33"/>
  <c r="GM4" i="33"/>
  <c r="E21" i="24"/>
  <c r="CV31" i="33"/>
  <c r="N8" i="24"/>
  <c r="CV13" i="33"/>
  <c r="KY22" i="33"/>
  <c r="GM6" i="33"/>
  <c r="KY4" i="33"/>
  <c r="L5" i="24"/>
  <c r="X15" i="33"/>
  <c r="O34" i="24"/>
  <c r="HQ7" i="33"/>
  <c r="GE37" i="33"/>
  <c r="FL19" i="33"/>
  <c r="BU10" i="33"/>
  <c r="IJ14" i="33"/>
  <c r="I14" i="24"/>
  <c r="L15" i="24"/>
  <c r="J34" i="24"/>
  <c r="CX17" i="33"/>
  <c r="CN25" i="33"/>
  <c r="GX30" i="33"/>
  <c r="GX4" i="33"/>
  <c r="HH17" i="33"/>
  <c r="F7" i="24"/>
  <c r="R22" i="24"/>
  <c r="HH22" i="33"/>
  <c r="GX31" i="33"/>
  <c r="FV35" i="33"/>
  <c r="GO28" i="33"/>
  <c r="LH32" i="33"/>
  <c r="EJ5" i="33"/>
  <c r="J19" i="24"/>
  <c r="FA10" i="33"/>
  <c r="IJ7" i="33"/>
  <c r="CV19" i="33"/>
  <c r="FV8" i="33"/>
  <c r="IT14" i="33"/>
  <c r="HH28" i="33"/>
  <c r="EJ20" i="33"/>
  <c r="IJ16" i="33"/>
  <c r="O18" i="24"/>
  <c r="H34" i="24"/>
  <c r="GO31" i="33"/>
  <c r="JM36" i="33"/>
  <c r="EJ4" i="33"/>
  <c r="AQ5" i="33"/>
  <c r="FC7" i="33"/>
  <c r="M9" i="24"/>
  <c r="HH21" i="33"/>
  <c r="X11" i="33"/>
  <c r="BB15" i="33"/>
  <c r="J26" i="24"/>
  <c r="LR15" i="33"/>
  <c r="ES17" i="33"/>
  <c r="CX18" i="33"/>
  <c r="E23" i="24"/>
  <c r="AI31" i="33"/>
  <c r="FA32" i="33"/>
  <c r="JC26" i="33"/>
  <c r="I13" i="24"/>
  <c r="S18" i="24"/>
  <c r="CX21" i="33"/>
  <c r="LH37" i="33"/>
  <c r="DQ14" i="33"/>
  <c r="KW35" i="33"/>
  <c r="AS6" i="33"/>
  <c r="FT27" i="33"/>
  <c r="L29" i="24"/>
  <c r="M29" i="24"/>
  <c r="FV19" i="33"/>
  <c r="KO27" i="33"/>
  <c r="CV34" i="33"/>
  <c r="P14" i="24"/>
  <c r="IT9" i="33"/>
  <c r="BJ8" i="33"/>
  <c r="ES16" i="33"/>
  <c r="IR7" i="33"/>
  <c r="E34" i="24"/>
  <c r="N32" i="24"/>
  <c r="I19" i="24"/>
  <c r="Z17" i="33"/>
  <c r="N14" i="24"/>
  <c r="AQ24" i="33"/>
  <c r="G11" i="24"/>
  <c r="Z34" i="33"/>
  <c r="IR26" i="33"/>
  <c r="FT5" i="33"/>
  <c r="BL7" i="33"/>
  <c r="BL12" i="33"/>
  <c r="X28" i="33"/>
  <c r="IA11" i="33"/>
  <c r="P11" i="24"/>
  <c r="BU18" i="33"/>
  <c r="M27" i="24"/>
  <c r="H25" i="24"/>
  <c r="X13" i="33"/>
  <c r="LH30" i="33"/>
  <c r="BJ12" i="33"/>
  <c r="DQ12" i="33"/>
  <c r="LR10" i="33"/>
  <c r="CX8" i="33"/>
  <c r="J13" i="24"/>
  <c r="CC6" i="33"/>
  <c r="IJ32" i="33"/>
  <c r="FT31" i="33"/>
  <c r="KF30" i="33"/>
  <c r="GM21" i="33"/>
  <c r="FC16" i="33"/>
  <c r="KD24" i="33"/>
  <c r="MA37" i="33"/>
  <c r="JK16" i="33"/>
  <c r="DG14" i="33"/>
  <c r="B12" i="24"/>
  <c r="HQ19" i="33"/>
  <c r="LR18" i="33"/>
  <c r="GM25" i="33"/>
  <c r="GE24" i="33"/>
  <c r="CV12" i="33"/>
  <c r="FA19" i="33"/>
  <c r="N31" i="24"/>
  <c r="J4" i="24"/>
  <c r="P7" i="33"/>
  <c r="LP12" i="33"/>
  <c r="G29" i="33"/>
  <c r="E18" i="33"/>
  <c r="LR27" i="33"/>
  <c r="AI33" i="33"/>
  <c r="B33" i="24"/>
  <c r="ES32" i="33"/>
  <c r="FV15" i="33"/>
  <c r="N6" i="24"/>
  <c r="H35" i="24"/>
  <c r="BB31" i="33"/>
  <c r="AQ9" i="33"/>
  <c r="FV32" i="33"/>
  <c r="AI19" i="33"/>
  <c r="IJ30" i="33"/>
  <c r="DG31" i="33"/>
  <c r="X6" i="33"/>
  <c r="GX29" i="33"/>
  <c r="AI25" i="33"/>
  <c r="G22" i="24"/>
  <c r="X10" i="33"/>
  <c r="GE9" i="33"/>
  <c r="HF28" i="33"/>
  <c r="R7" i="24"/>
  <c r="MA34" i="33"/>
  <c r="HF5" i="33"/>
  <c r="DZ10" i="33"/>
  <c r="EJ35" i="33"/>
  <c r="FL4" i="33"/>
  <c r="S14" i="24"/>
  <c r="GM7" i="33"/>
  <c r="H5" i="24"/>
  <c r="G7" i="24"/>
  <c r="HQ32" i="33"/>
  <c r="KY36" i="33"/>
  <c r="EH25" i="33"/>
  <c r="JK31" i="33"/>
  <c r="AI21" i="33"/>
  <c r="FV25" i="33"/>
  <c r="FT22" i="33"/>
  <c r="KW19" i="33"/>
  <c r="KY32" i="33"/>
  <c r="F30" i="24"/>
  <c r="E8" i="24"/>
  <c r="IR37" i="33"/>
  <c r="MA36" i="33"/>
  <c r="P16" i="33"/>
  <c r="E20" i="24"/>
  <c r="HY33" i="33"/>
  <c r="BJ7" i="33"/>
  <c r="F29" i="24"/>
  <c r="F18" i="24"/>
  <c r="JC32" i="33"/>
  <c r="KW28" i="33"/>
  <c r="FL37" i="33"/>
  <c r="CN32" i="33"/>
  <c r="JK11" i="33"/>
  <c r="KF13" i="33"/>
  <c r="I29" i="24"/>
  <c r="CC34" i="33"/>
  <c r="AQ19" i="33"/>
  <c r="HY22" i="33"/>
  <c r="O26" i="24"/>
  <c r="JV10" i="33"/>
  <c r="CV17" i="33"/>
  <c r="BJ29" i="33"/>
  <c r="LH20" i="33"/>
  <c r="KO11" i="33"/>
  <c r="P36" i="33"/>
  <c r="CV25" i="33"/>
  <c r="HH19" i="33"/>
  <c r="JM17" i="33"/>
  <c r="LP36" i="33"/>
  <c r="FC24" i="33"/>
  <c r="CE11" i="33"/>
  <c r="D9" i="24"/>
  <c r="I26" i="24"/>
  <c r="MA32" i="33"/>
  <c r="JK4" i="33"/>
  <c r="P25" i="24"/>
  <c r="J28" i="24"/>
  <c r="DQ13" i="33"/>
  <c r="DZ37" i="33"/>
  <c r="GE31" i="33"/>
  <c r="J36" i="24"/>
  <c r="FL33" i="33"/>
  <c r="F28" i="24"/>
  <c r="CE33" i="33"/>
  <c r="GX32" i="33"/>
  <c r="IT26" i="33"/>
  <c r="IR29" i="33"/>
  <c r="LP26" i="33"/>
  <c r="D5" i="24"/>
  <c r="CC24" i="33"/>
  <c r="IA33" i="33"/>
  <c r="E11" i="33"/>
  <c r="FA26" i="33"/>
  <c r="IJ21" i="33"/>
  <c r="FT11" i="33"/>
  <c r="K31" i="24"/>
  <c r="GM5" i="33"/>
  <c r="M16" i="24"/>
  <c r="B25" i="24"/>
  <c r="DQ26" i="33"/>
  <c r="KW20" i="33"/>
  <c r="HQ23" i="33"/>
  <c r="AS30" i="33"/>
  <c r="E25" i="24"/>
  <c r="C24" i="24"/>
  <c r="DO22" i="33"/>
  <c r="BB17" i="33"/>
  <c r="G26" i="33"/>
  <c r="LP15" i="33"/>
  <c r="BB10" i="33"/>
  <c r="C27" i="24"/>
  <c r="HH12" i="33"/>
  <c r="AQ13" i="33"/>
  <c r="Z31" i="33"/>
  <c r="EH13" i="33"/>
  <c r="JM8" i="33"/>
  <c r="GM26" i="33"/>
  <c r="G32" i="33"/>
  <c r="HY20" i="33"/>
  <c r="GX22" i="33"/>
  <c r="KW27" i="33"/>
  <c r="FT36" i="33"/>
  <c r="E12" i="24"/>
  <c r="S21" i="24"/>
  <c r="JM33" i="33"/>
  <c r="Q32" i="24"/>
  <c r="L18" i="24"/>
  <c r="N30" i="24"/>
  <c r="P33" i="24"/>
  <c r="JM20" i="33"/>
  <c r="BJ37" i="33"/>
  <c r="LR28" i="33"/>
  <c r="X20" i="33"/>
  <c r="JK24" i="33"/>
  <c r="L31" i="24"/>
  <c r="CE15" i="33"/>
  <c r="EJ12" i="33"/>
  <c r="CV32" i="33"/>
  <c r="G8" i="33"/>
  <c r="E28" i="33"/>
  <c r="Q20" i="24"/>
  <c r="BJ30" i="33"/>
  <c r="KW31" i="33"/>
  <c r="AI29" i="33"/>
  <c r="J15" i="24"/>
  <c r="AI35" i="33"/>
  <c r="CN6" i="33"/>
  <c r="BB23" i="33"/>
  <c r="G36" i="33"/>
  <c r="E15" i="33"/>
  <c r="FV33" i="33"/>
  <c r="X9" i="33"/>
  <c r="S7" i="24"/>
  <c r="FC36" i="33"/>
  <c r="JM32" i="33"/>
  <c r="DZ32" i="33"/>
  <c r="FL32" i="33"/>
  <c r="J9" i="24"/>
  <c r="O28" i="24"/>
  <c r="FV6" i="33"/>
  <c r="F25" i="24"/>
  <c r="EJ14" i="33"/>
  <c r="FA25" i="33"/>
  <c r="F21" i="24"/>
  <c r="BU11" i="33"/>
  <c r="LR20" i="33"/>
  <c r="BD59" i="33" l="1"/>
  <c r="BV11" i="33"/>
  <c r="BW11" i="33"/>
  <c r="BU88" i="33" s="1"/>
  <c r="FI25" i="33"/>
  <c r="AL64" i="33"/>
  <c r="FJ25" i="33"/>
  <c r="FK25" i="33"/>
  <c r="AJ53" i="33"/>
  <c r="AM45" i="33"/>
  <c r="FN32" i="33"/>
  <c r="FL109" i="33" s="1"/>
  <c r="FM32" i="33"/>
  <c r="FJ109" i="33" s="1"/>
  <c r="ED32" i="33"/>
  <c r="EA109" i="33" s="1"/>
  <c r="EC32" i="33"/>
  <c r="DY109" i="33" s="1"/>
  <c r="AX71" i="33"/>
  <c r="AL75" i="33"/>
  <c r="X48" i="33"/>
  <c r="AH9" i="33"/>
  <c r="AG9" i="33"/>
  <c r="AF9" i="33"/>
  <c r="AM72" i="33"/>
  <c r="L15" i="33"/>
  <c r="K15" i="33"/>
  <c r="J15" i="33"/>
  <c r="U54" i="33"/>
  <c r="U75" i="33"/>
  <c r="BF23" i="33"/>
  <c r="BC100" i="33" s="1"/>
  <c r="BE23" i="33"/>
  <c r="BA100" i="33" s="1"/>
  <c r="CR6" i="33"/>
  <c r="CO83" i="33" s="1"/>
  <c r="CQ6" i="33"/>
  <c r="CM83" i="33" s="1"/>
  <c r="AL35" i="33"/>
  <c r="AH112" i="33" s="1"/>
  <c r="AM35" i="33"/>
  <c r="AJ112" i="33" s="1"/>
  <c r="AL29" i="33"/>
  <c r="AH106" i="33" s="1"/>
  <c r="AM29" i="33"/>
  <c r="AJ106" i="33" s="1"/>
  <c r="LG31" i="33"/>
  <c r="BB70" i="33"/>
  <c r="LE31" i="33"/>
  <c r="LF31" i="33"/>
  <c r="BS30" i="33"/>
  <c r="BT30" i="33"/>
  <c r="AB69" i="33"/>
  <c r="BR30" i="33"/>
  <c r="L28" i="33"/>
  <c r="U67" i="33"/>
  <c r="J28" i="33"/>
  <c r="K28" i="33"/>
  <c r="V47" i="33"/>
  <c r="DD32" i="33"/>
  <c r="DE32" i="33"/>
  <c r="AF71" i="33"/>
  <c r="DF32" i="33"/>
  <c r="AJ51" i="33"/>
  <c r="AD54" i="33"/>
  <c r="AW63" i="33"/>
  <c r="JR24" i="33"/>
  <c r="JQ24" i="33"/>
  <c r="JP24" i="33"/>
  <c r="AE20" i="33"/>
  <c r="AC20" i="33"/>
  <c r="AD20" i="33"/>
  <c r="W59" i="33"/>
  <c r="BD67" i="33"/>
  <c r="BS37" i="33"/>
  <c r="BT37" i="33"/>
  <c r="AB76" i="33"/>
  <c r="BR37" i="33"/>
  <c r="AW59" i="33"/>
  <c r="AX72" i="33"/>
  <c r="FY36" i="33"/>
  <c r="GA36" i="33"/>
  <c r="AM75" i="33"/>
  <c r="FZ36" i="33"/>
  <c r="LG27" i="33"/>
  <c r="LF27" i="33"/>
  <c r="LE27" i="33"/>
  <c r="BB66" i="33"/>
  <c r="GY22" i="33"/>
  <c r="GV99" i="33" s="1"/>
  <c r="GZ22" i="33"/>
  <c r="GX99" i="33" s="1"/>
  <c r="IH20" i="33"/>
  <c r="IG20" i="33"/>
  <c r="AT59" i="33"/>
  <c r="II20" i="33"/>
  <c r="U71" i="33"/>
  <c r="GV26" i="33"/>
  <c r="AP65" i="33"/>
  <c r="GU26" i="33"/>
  <c r="GW26" i="33"/>
  <c r="AX47" i="33"/>
  <c r="ER13" i="33"/>
  <c r="EP13" i="33"/>
  <c r="AJ52" i="33"/>
  <c r="EQ13" i="33"/>
  <c r="W70" i="33"/>
  <c r="AW13" i="33"/>
  <c r="AV13" i="33"/>
  <c r="AX13" i="33"/>
  <c r="Y52" i="33"/>
  <c r="AQ51" i="33"/>
  <c r="BF10" i="33"/>
  <c r="BC87" i="33" s="1"/>
  <c r="BE10" i="33"/>
  <c r="BA87" i="33" s="1"/>
  <c r="LY15" i="33"/>
  <c r="BD54" i="33"/>
  <c r="LZ15" i="33"/>
  <c r="LX15" i="33"/>
  <c r="V65" i="33"/>
  <c r="BC17" i="33"/>
  <c r="AZ94" i="33" s="1"/>
  <c r="BD17" i="33"/>
  <c r="BB94" i="33" s="1"/>
  <c r="AG61" i="33"/>
  <c r="DT22" i="33"/>
  <c r="DV22" i="33"/>
  <c r="DU22" i="33"/>
  <c r="Y69" i="33"/>
  <c r="HS23" i="33"/>
  <c r="HQ100" i="33" s="1"/>
  <c r="HR23" i="33"/>
  <c r="HO100" i="33" s="1"/>
  <c r="LG20" i="33"/>
  <c r="LF20" i="33"/>
  <c r="LE20" i="33"/>
  <c r="BB59" i="33"/>
  <c r="AH65" i="33"/>
  <c r="T25" i="24"/>
  <c r="U25" i="24"/>
  <c r="AP44" i="33"/>
  <c r="GW5" i="33"/>
  <c r="GU5" i="33"/>
  <c r="GV5" i="33"/>
  <c r="GC11" i="33"/>
  <c r="GD11" i="33"/>
  <c r="GB11" i="33"/>
  <c r="AN50" i="33"/>
  <c r="IM21" i="33"/>
  <c r="II98" i="33" s="1"/>
  <c r="IL98" i="33" s="1"/>
  <c r="IN21" i="33"/>
  <c r="IK98" i="33" s="1"/>
  <c r="FG26" i="33"/>
  <c r="AK65" i="33"/>
  <c r="FH26" i="33"/>
  <c r="FF26" i="33"/>
  <c r="O11" i="33"/>
  <c r="N11" i="33"/>
  <c r="V50" i="33"/>
  <c r="M11" i="33"/>
  <c r="AT72" i="33"/>
  <c r="AD63" i="33"/>
  <c r="CL24" i="33"/>
  <c r="CM24" i="33"/>
  <c r="CK24" i="33"/>
  <c r="BC65" i="33"/>
  <c r="LV26" i="33"/>
  <c r="LU26" i="33"/>
  <c r="LW26" i="33"/>
  <c r="IX29" i="33"/>
  <c r="IW29" i="33"/>
  <c r="AU68" i="33"/>
  <c r="IY29" i="33"/>
  <c r="AU65" i="33"/>
  <c r="HA32" i="33"/>
  <c r="GW109" i="33" s="1"/>
  <c r="GZ109" i="33" s="1"/>
  <c r="HB32" i="33"/>
  <c r="GY109" i="33" s="1"/>
  <c r="AD72" i="33"/>
  <c r="FO33" i="33"/>
  <c r="FK110" i="33" s="1"/>
  <c r="FP33" i="33"/>
  <c r="FM110" i="33" s="1"/>
  <c r="GI31" i="33"/>
  <c r="GF108" i="33" s="1"/>
  <c r="GH31" i="33"/>
  <c r="GD108" i="33" s="1"/>
  <c r="EB37" i="33"/>
  <c r="DZ114" i="33" s="1"/>
  <c r="EA37" i="33"/>
  <c r="DX114" i="33" s="1"/>
  <c r="AH52" i="33"/>
  <c r="JR4" i="33"/>
  <c r="JP4" i="33"/>
  <c r="AW43" i="33"/>
  <c r="JQ4" i="33"/>
  <c r="MC32" i="33"/>
  <c r="MA109" i="33" s="1"/>
  <c r="MB32" i="33"/>
  <c r="LY109" i="33" s="1"/>
  <c r="MC109" i="33" s="1"/>
  <c r="AD50" i="33"/>
  <c r="AL63" i="33"/>
  <c r="LV36" i="33"/>
  <c r="LU36" i="33"/>
  <c r="LW36" i="33"/>
  <c r="BC75" i="33"/>
  <c r="AX56" i="33"/>
  <c r="AQ58" i="33"/>
  <c r="DB25" i="33"/>
  <c r="AE64" i="33"/>
  <c r="DA25" i="33"/>
  <c r="DC25" i="33"/>
  <c r="T36" i="33"/>
  <c r="Q113" i="33" s="1"/>
  <c r="S36" i="33"/>
  <c r="O113" i="33" s="1"/>
  <c r="KP11" i="33"/>
  <c r="KM88" i="33" s="1"/>
  <c r="KQ11" i="33"/>
  <c r="KO88" i="33" s="1"/>
  <c r="LL20" i="33"/>
  <c r="LI97" i="33" s="1"/>
  <c r="LK20" i="33"/>
  <c r="LG97" i="33" s="1"/>
  <c r="BP29" i="33"/>
  <c r="AA68" i="33"/>
  <c r="BQ29" i="33"/>
  <c r="BO29" i="33"/>
  <c r="DA17" i="33"/>
  <c r="AE56" i="33"/>
  <c r="DC17" i="33"/>
  <c r="DB17" i="33"/>
  <c r="JW10" i="33"/>
  <c r="JT87" i="33" s="1"/>
  <c r="JX87" i="33" s="1"/>
  <c r="JX10" i="33"/>
  <c r="JV87" i="33" s="1"/>
  <c r="IF22" i="33"/>
  <c r="AS61" i="33"/>
  <c r="IE22" i="33"/>
  <c r="ID22" i="33"/>
  <c r="AW19" i="33"/>
  <c r="AX19" i="33"/>
  <c r="AV19" i="33"/>
  <c r="Y58" i="33"/>
  <c r="CL34" i="33"/>
  <c r="CK34" i="33"/>
  <c r="AD73" i="33"/>
  <c r="CM34" i="33"/>
  <c r="AY52" i="33"/>
  <c r="JS11" i="33"/>
  <c r="JU11" i="33"/>
  <c r="JT11" i="33"/>
  <c r="AX50" i="33"/>
  <c r="CR32" i="33"/>
  <c r="CO109" i="33" s="1"/>
  <c r="CQ32" i="33"/>
  <c r="CM109" i="33" s="1"/>
  <c r="CP109" i="33" s="1"/>
  <c r="FP37" i="33"/>
  <c r="FM114" i="33" s="1"/>
  <c r="FO37" i="33"/>
  <c r="FK114" i="33" s="1"/>
  <c r="LC28" i="33"/>
  <c r="LD28" i="33"/>
  <c r="LB28" i="33"/>
  <c r="BA67" i="33"/>
  <c r="JD32" i="33"/>
  <c r="JA109" i="33" s="1"/>
  <c r="JE32" i="33"/>
  <c r="JC109" i="33" s="1"/>
  <c r="BP7" i="33"/>
  <c r="BQ7" i="33"/>
  <c r="BO7" i="33"/>
  <c r="AA46" i="33"/>
  <c r="ID33" i="33"/>
  <c r="IE33" i="33"/>
  <c r="AS72" i="33"/>
  <c r="IF33" i="33"/>
  <c r="S16" i="33"/>
  <c r="O93" i="33" s="1"/>
  <c r="R93" i="33" s="1"/>
  <c r="T16" i="33"/>
  <c r="Q93" i="33" s="1"/>
  <c r="MC36" i="33"/>
  <c r="MA113" i="33" s="1"/>
  <c r="MB36" i="33"/>
  <c r="LY113" i="33" s="1"/>
  <c r="MC113" i="33" s="1"/>
  <c r="AV76" i="33"/>
  <c r="IZ37" i="33"/>
  <c r="JB37" i="33"/>
  <c r="JA37" i="33"/>
  <c r="BB71" i="33"/>
  <c r="LB19" i="33"/>
  <c r="LD19" i="33"/>
  <c r="LC19" i="33"/>
  <c r="BA58" i="33"/>
  <c r="GB22" i="33"/>
  <c r="GC22" i="33"/>
  <c r="AN61" i="33"/>
  <c r="GD22" i="33"/>
  <c r="AM64" i="33"/>
  <c r="AJ21" i="33"/>
  <c r="AG98" i="33" s="1"/>
  <c r="AK21" i="33"/>
  <c r="AI98" i="33" s="1"/>
  <c r="AX70" i="33"/>
  <c r="JU31" i="33"/>
  <c r="JS31" i="33"/>
  <c r="JT31" i="33"/>
  <c r="AI64" i="33"/>
  <c r="EO25" i="33"/>
  <c r="EM25" i="33"/>
  <c r="EN25" i="33"/>
  <c r="BA75" i="33"/>
  <c r="HT32" i="33"/>
  <c r="HP109" i="33" s="1"/>
  <c r="HU32" i="33"/>
  <c r="HR109" i="33" s="1"/>
  <c r="GV7" i="33"/>
  <c r="GU7" i="33"/>
  <c r="GW7" i="33"/>
  <c r="AP46" i="33"/>
  <c r="FN4" i="33"/>
  <c r="FL81" i="33" s="1"/>
  <c r="FM4" i="33"/>
  <c r="FL38" i="33"/>
  <c r="AI74" i="33"/>
  <c r="EB10" i="33"/>
  <c r="DZ87" i="33" s="1"/>
  <c r="EA10" i="33"/>
  <c r="DX87" i="33" s="1"/>
  <c r="EB87" i="33" s="1"/>
  <c r="AQ44" i="33"/>
  <c r="HL5" i="33"/>
  <c r="HK5" i="33"/>
  <c r="HM5" i="33"/>
  <c r="MC34" i="33"/>
  <c r="MA111" i="33" s="1"/>
  <c r="MB34" i="33"/>
  <c r="LY111" i="33" s="1"/>
  <c r="HO28" i="33"/>
  <c r="HP28" i="33"/>
  <c r="HN28" i="33"/>
  <c r="AR67" i="33"/>
  <c r="GI9" i="33"/>
  <c r="GF86" i="33" s="1"/>
  <c r="GH9" i="33"/>
  <c r="GD86" i="33" s="1"/>
  <c r="AC10" i="33"/>
  <c r="AE10" i="33"/>
  <c r="W49" i="33"/>
  <c r="AD10" i="33"/>
  <c r="AK25" i="33"/>
  <c r="AI102" i="33" s="1"/>
  <c r="AJ25" i="33"/>
  <c r="AG102" i="33" s="1"/>
  <c r="GY29" i="33"/>
  <c r="GV106" i="33" s="1"/>
  <c r="GZ29" i="33"/>
  <c r="GX106" i="33" s="1"/>
  <c r="AH6" i="33"/>
  <c r="AF6" i="33"/>
  <c r="AG6" i="33"/>
  <c r="X45" i="33"/>
  <c r="DI31" i="33"/>
  <c r="DG108" i="33" s="1"/>
  <c r="DH31" i="33"/>
  <c r="DE108" i="33" s="1"/>
  <c r="DI108" i="33" s="1"/>
  <c r="IN30" i="33"/>
  <c r="IK107" i="33" s="1"/>
  <c r="IM30" i="33"/>
  <c r="II107" i="33" s="1"/>
  <c r="AM19" i="33"/>
  <c r="AJ96" i="33" s="1"/>
  <c r="AL19" i="33"/>
  <c r="AH96" i="33" s="1"/>
  <c r="AN71" i="33"/>
  <c r="AX9" i="33"/>
  <c r="AW9" i="33"/>
  <c r="AV9" i="33"/>
  <c r="Y48" i="33"/>
  <c r="BD31" i="33"/>
  <c r="BB108" i="33" s="1"/>
  <c r="BC31" i="33"/>
  <c r="AZ108" i="33" s="1"/>
  <c r="BD108" i="33" s="1"/>
  <c r="AM54" i="33"/>
  <c r="ET32" i="33"/>
  <c r="EQ109" i="33" s="1"/>
  <c r="EU32" i="33"/>
  <c r="ES109" i="33" s="1"/>
  <c r="U33" i="24"/>
  <c r="T33" i="24"/>
  <c r="AL33" i="33"/>
  <c r="AH110" i="33" s="1"/>
  <c r="AK110" i="33" s="1"/>
  <c r="AM33" i="33"/>
  <c r="AJ110" i="33" s="1"/>
  <c r="BC66" i="33"/>
  <c r="V57" i="33"/>
  <c r="M18" i="33"/>
  <c r="O18" i="33"/>
  <c r="N18" i="33"/>
  <c r="U68" i="33"/>
  <c r="BC51" i="33"/>
  <c r="LW12" i="33"/>
  <c r="LV12" i="33"/>
  <c r="LU12" i="33"/>
  <c r="S7" i="33"/>
  <c r="O84" i="33" s="1"/>
  <c r="T7" i="33"/>
  <c r="Q84" i="33" s="1"/>
  <c r="FI19" i="33"/>
  <c r="AL58" i="33"/>
  <c r="FK19" i="33"/>
  <c r="FJ19" i="33"/>
  <c r="DF12" i="33"/>
  <c r="DE12" i="33"/>
  <c r="AF51" i="33"/>
  <c r="DD12" i="33"/>
  <c r="GG24" i="33"/>
  <c r="GE101" i="33" s="1"/>
  <c r="GF24" i="33"/>
  <c r="GC101" i="33" s="1"/>
  <c r="GU25" i="33"/>
  <c r="GV25" i="33"/>
  <c r="GW25" i="33"/>
  <c r="AP64" i="33"/>
  <c r="BD57" i="33"/>
  <c r="HT19" i="33"/>
  <c r="HP96" i="33" s="1"/>
  <c r="HU19" i="33"/>
  <c r="HR96" i="33" s="1"/>
  <c r="T12" i="24"/>
  <c r="U12" i="24"/>
  <c r="DJ14" i="33"/>
  <c r="DF91" i="33" s="1"/>
  <c r="DK14" i="33"/>
  <c r="DH91" i="33" s="1"/>
  <c r="JS16" i="33"/>
  <c r="JT16" i="33"/>
  <c r="JU16" i="33"/>
  <c r="AX55" i="33"/>
  <c r="MD37" i="33"/>
  <c r="LZ114" i="33" s="1"/>
  <c r="MC114" i="33" s="1"/>
  <c r="ME37" i="33"/>
  <c r="MB114" i="33" s="1"/>
  <c r="KL24" i="33"/>
  <c r="KN24" i="33"/>
  <c r="AZ63" i="33"/>
  <c r="KM24" i="33"/>
  <c r="AL55" i="33"/>
  <c r="AP60" i="33"/>
  <c r="GU21" i="33"/>
  <c r="GV21" i="33"/>
  <c r="GW21" i="33"/>
  <c r="AZ69" i="33"/>
  <c r="GC31" i="33"/>
  <c r="GD31" i="33"/>
  <c r="AN70" i="33"/>
  <c r="GB31" i="33"/>
  <c r="IN32" i="33"/>
  <c r="IK109" i="33" s="1"/>
  <c r="IM32" i="33"/>
  <c r="II109" i="33" s="1"/>
  <c r="CL6" i="33"/>
  <c r="AD45" i="33"/>
  <c r="CM6" i="33"/>
  <c r="CK6" i="33"/>
  <c r="AE47" i="33"/>
  <c r="BD49" i="33"/>
  <c r="AG51" i="33"/>
  <c r="BR12" i="33"/>
  <c r="BS12" i="33"/>
  <c r="AB51" i="33"/>
  <c r="BT12" i="33"/>
  <c r="LJ30" i="33"/>
  <c r="LH107" i="33" s="1"/>
  <c r="LI30" i="33"/>
  <c r="LF107" i="33" s="1"/>
  <c r="AH13" i="33"/>
  <c r="AF13" i="33"/>
  <c r="X52" i="33"/>
  <c r="AG13" i="33"/>
  <c r="BX18" i="33"/>
  <c r="BT95" i="33" s="1"/>
  <c r="BY18" i="33"/>
  <c r="BV95" i="33" s="1"/>
  <c r="AS50" i="33"/>
  <c r="W67" i="33"/>
  <c r="AC28" i="33"/>
  <c r="AD28" i="33"/>
  <c r="AE28" i="33"/>
  <c r="AA51" i="33"/>
  <c r="AB46" i="33"/>
  <c r="AM44" i="33"/>
  <c r="FZ5" i="33"/>
  <c r="GA5" i="33"/>
  <c r="FY5" i="33"/>
  <c r="JA26" i="33"/>
  <c r="AV65" i="33"/>
  <c r="JB26" i="33"/>
  <c r="IZ26" i="33"/>
  <c r="X73" i="33"/>
  <c r="AY24" i="33"/>
  <c r="Z63" i="33"/>
  <c r="AZ24" i="33"/>
  <c r="BA24" i="33"/>
  <c r="W56" i="33"/>
  <c r="IW7" i="33"/>
  <c r="IX7" i="33"/>
  <c r="IY7" i="33"/>
  <c r="AU46" i="33"/>
  <c r="EU16" i="33"/>
  <c r="ES93" i="33" s="1"/>
  <c r="ET16" i="33"/>
  <c r="EQ93" i="33" s="1"/>
  <c r="BR8" i="33"/>
  <c r="BS8" i="33"/>
  <c r="AB47" i="33"/>
  <c r="BT8" i="33"/>
  <c r="AV48" i="33"/>
  <c r="AF73" i="33"/>
  <c r="DF34" i="33"/>
  <c r="DE34" i="33"/>
  <c r="DD34" i="33"/>
  <c r="KP27" i="33"/>
  <c r="KM104" i="33" s="1"/>
  <c r="KQ27" i="33"/>
  <c r="KO104" i="33" s="1"/>
  <c r="AM58" i="33"/>
  <c r="GC27" i="33"/>
  <c r="GD27" i="33"/>
  <c r="AN66" i="33"/>
  <c r="GB27" i="33"/>
  <c r="Z45" i="33"/>
  <c r="LG35" i="33"/>
  <c r="LE35" i="33"/>
  <c r="BB74" i="33"/>
  <c r="LF35" i="33"/>
  <c r="AG53" i="33"/>
  <c r="LI37" i="33"/>
  <c r="LF114" i="33" s="1"/>
  <c r="LJ37" i="33"/>
  <c r="LH114" i="33" s="1"/>
  <c r="AF60" i="33"/>
  <c r="JF26" i="33"/>
  <c r="JB103" i="33" s="1"/>
  <c r="JE103" i="33" s="1"/>
  <c r="JG26" i="33"/>
  <c r="JD103" i="33" s="1"/>
  <c r="FF32" i="33"/>
  <c r="FG32" i="33"/>
  <c r="FH32" i="33"/>
  <c r="AK71" i="33"/>
  <c r="AM31" i="33"/>
  <c r="AJ108" i="33" s="1"/>
  <c r="AL31" i="33"/>
  <c r="AH108" i="33" s="1"/>
  <c r="AK108" i="33" s="1"/>
  <c r="AE57" i="33"/>
  <c r="EV17" i="33"/>
  <c r="ER94" i="33" s="1"/>
  <c r="EW17" i="33"/>
  <c r="ET94" i="33" s="1"/>
  <c r="BC54" i="33"/>
  <c r="BC15" i="33"/>
  <c r="AZ92" i="33" s="1"/>
  <c r="BD15" i="33"/>
  <c r="BB92" i="33" s="1"/>
  <c r="X50" i="33"/>
  <c r="AG11" i="33"/>
  <c r="AH11" i="33"/>
  <c r="AF11" i="33"/>
  <c r="AR60" i="33"/>
  <c r="AK46" i="33"/>
  <c r="BA5" i="33"/>
  <c r="Z44" i="33"/>
  <c r="AZ5" i="33"/>
  <c r="AY5" i="33"/>
  <c r="AI43" i="33"/>
  <c r="AW75" i="33"/>
  <c r="AP70" i="33"/>
  <c r="IN16" i="33"/>
  <c r="IK93" i="33" s="1"/>
  <c r="IM16" i="33"/>
  <c r="II93" i="33" s="1"/>
  <c r="AJ59" i="33"/>
  <c r="AQ67" i="33"/>
  <c r="AU53" i="33"/>
  <c r="AN47" i="33"/>
  <c r="DB19" i="33"/>
  <c r="DA19" i="33"/>
  <c r="AE58" i="33"/>
  <c r="DC19" i="33"/>
  <c r="IN7" i="33"/>
  <c r="IK84" i="33" s="1"/>
  <c r="IM7" i="33"/>
  <c r="II84" i="33" s="1"/>
  <c r="FH10" i="33"/>
  <c r="FG10" i="33"/>
  <c r="FF10" i="33"/>
  <c r="AK49" i="33"/>
  <c r="AJ44" i="33"/>
  <c r="LJ32" i="33"/>
  <c r="LH109" i="33" s="1"/>
  <c r="LI32" i="33"/>
  <c r="LF109" i="33" s="1"/>
  <c r="LJ109" i="33" s="1"/>
  <c r="AO67" i="33"/>
  <c r="AM74" i="33"/>
  <c r="GY31" i="33"/>
  <c r="GV108" i="33" s="1"/>
  <c r="GZ108" i="33" s="1"/>
  <c r="GZ31" i="33"/>
  <c r="GX108" i="33" s="1"/>
  <c r="AQ61" i="33"/>
  <c r="AQ56" i="33"/>
  <c r="GY4" i="33"/>
  <c r="GV81" i="33" s="1"/>
  <c r="GX38" i="33"/>
  <c r="GZ4" i="33"/>
  <c r="GX81" i="33" s="1"/>
  <c r="HA30" i="33"/>
  <c r="GW107" i="33" s="1"/>
  <c r="GZ107" i="33" s="1"/>
  <c r="HB30" i="33"/>
  <c r="GY107" i="33" s="1"/>
  <c r="CO25" i="33"/>
  <c r="CL102" i="33" s="1"/>
  <c r="CP25" i="33"/>
  <c r="CN102" i="33" s="1"/>
  <c r="AF56" i="33"/>
  <c r="IN14" i="33"/>
  <c r="IK91" i="33" s="1"/>
  <c r="IM14" i="33"/>
  <c r="II91" i="33" s="1"/>
  <c r="IL91" i="33" s="1"/>
  <c r="BX10" i="33"/>
  <c r="BT87" i="33" s="1"/>
  <c r="BY10" i="33"/>
  <c r="BV87" i="33" s="1"/>
  <c r="FO19" i="33"/>
  <c r="FK96" i="33" s="1"/>
  <c r="FN96" i="33" s="1"/>
  <c r="FP19" i="33"/>
  <c r="FM96" i="33" s="1"/>
  <c r="GH37" i="33"/>
  <c r="GD114" i="33" s="1"/>
  <c r="GG114" i="33" s="1"/>
  <c r="GI37" i="33"/>
  <c r="GF114" i="33" s="1"/>
  <c r="HR7" i="33"/>
  <c r="HO84" i="33" s="1"/>
  <c r="HS7" i="33"/>
  <c r="HQ84" i="33" s="1"/>
  <c r="HS84" i="33" s="1"/>
  <c r="AH15" i="33"/>
  <c r="X54" i="33"/>
  <c r="AG15" i="33"/>
  <c r="AF15" i="33"/>
  <c r="BB43" i="33"/>
  <c r="GT6" i="33"/>
  <c r="AO45" i="33"/>
  <c r="GR6" i="33"/>
  <c r="GS6" i="33"/>
  <c r="BB61" i="33"/>
  <c r="DB13" i="33"/>
  <c r="DA13" i="33"/>
  <c r="DC13" i="33"/>
  <c r="AE52" i="33"/>
  <c r="DC31" i="33"/>
  <c r="DA31" i="33"/>
  <c r="AE70" i="33"/>
  <c r="DB31" i="33"/>
  <c r="GT4" i="33"/>
  <c r="GR4" i="33"/>
  <c r="GS4" i="33"/>
  <c r="AO43" i="33"/>
  <c r="GG21" i="33"/>
  <c r="GE98" i="33" s="1"/>
  <c r="GF21" i="33"/>
  <c r="GC98" i="33" s="1"/>
  <c r="DK32" i="33"/>
  <c r="DH109" i="33" s="1"/>
  <c r="DJ32" i="33"/>
  <c r="DF109" i="33" s="1"/>
  <c r="AJ73" i="33"/>
  <c r="LY11" i="33"/>
  <c r="LX11" i="33"/>
  <c r="BD50" i="33"/>
  <c r="LZ11" i="33"/>
  <c r="AB62" i="33"/>
  <c r="LV28" i="33"/>
  <c r="BC67" i="33"/>
  <c r="LW28" i="33"/>
  <c r="LU28" i="33"/>
  <c r="H41" i="24"/>
  <c r="H37" i="24"/>
  <c r="H38" i="24"/>
  <c r="H39" i="24" s="1"/>
  <c r="AG64" i="33"/>
  <c r="AY72" i="33"/>
  <c r="LB26" i="33"/>
  <c r="LC26" i="33"/>
  <c r="BA65" i="33"/>
  <c r="LD26" i="33"/>
  <c r="CJ31" i="33"/>
  <c r="CH31" i="33"/>
  <c r="CI31" i="33"/>
  <c r="AC70" i="33"/>
  <c r="AB66" i="33"/>
  <c r="X62" i="33"/>
  <c r="AV73" i="33"/>
  <c r="EV10" i="33"/>
  <c r="ER87" i="33" s="1"/>
  <c r="EW10" i="33"/>
  <c r="ET87" i="33" s="1"/>
  <c r="AA73" i="33"/>
  <c r="EC21" i="33"/>
  <c r="DY98" i="33" s="1"/>
  <c r="EB98" i="33" s="1"/>
  <c r="ED21" i="33"/>
  <c r="EA98" i="33" s="1"/>
  <c r="JT20" i="33"/>
  <c r="JS20" i="33"/>
  <c r="AX59" i="33"/>
  <c r="JU20" i="33"/>
  <c r="U32" i="24"/>
  <c r="T32" i="24"/>
  <c r="AR61" i="33"/>
  <c r="HP22" i="33"/>
  <c r="HN22" i="33"/>
  <c r="HO22" i="33"/>
  <c r="DC23" i="33"/>
  <c r="DA23" i="33"/>
  <c r="AE62" i="33"/>
  <c r="DB23" i="33"/>
  <c r="LJ19" i="33"/>
  <c r="LH96" i="33" s="1"/>
  <c r="LI19" i="33"/>
  <c r="LF96" i="33" s="1"/>
  <c r="AF64" i="33"/>
  <c r="AU54" i="33"/>
  <c r="JA22" i="33"/>
  <c r="AV61" i="33"/>
  <c r="IZ22" i="33"/>
  <c r="JB22" i="33"/>
  <c r="JW26" i="33"/>
  <c r="JT103" i="33" s="1"/>
  <c r="JX26" i="33"/>
  <c r="JV103" i="33" s="1"/>
  <c r="EW37" i="33"/>
  <c r="ET114" i="33" s="1"/>
  <c r="EV37" i="33"/>
  <c r="ER114" i="33" s="1"/>
  <c r="EU114" i="33" s="1"/>
  <c r="KI14" i="33"/>
  <c r="KJ14" i="33"/>
  <c r="KK14" i="33"/>
  <c r="AY53" i="33"/>
  <c r="AA72" i="33"/>
  <c r="BP33" i="33"/>
  <c r="BO33" i="33"/>
  <c r="BQ33" i="33"/>
  <c r="ER4" i="33"/>
  <c r="AJ43" i="33"/>
  <c r="EQ4" i="33"/>
  <c r="EP4" i="33"/>
  <c r="AR62" i="33"/>
  <c r="JX33" i="33"/>
  <c r="JV110" i="33" s="1"/>
  <c r="JW33" i="33"/>
  <c r="JT110" i="33" s="1"/>
  <c r="JX110" i="33" s="1"/>
  <c r="IX34" i="33"/>
  <c r="IW34" i="33"/>
  <c r="IY34" i="33"/>
  <c r="AU73" i="33"/>
  <c r="BD33" i="33"/>
  <c r="BB110" i="33" s="1"/>
  <c r="BC33" i="33"/>
  <c r="AZ110" i="33" s="1"/>
  <c r="BD110" i="33" s="1"/>
  <c r="AO76" i="33"/>
  <c r="GR37" i="33"/>
  <c r="GS37" i="33"/>
  <c r="GT37" i="33"/>
  <c r="LB10" i="33"/>
  <c r="LC10" i="33"/>
  <c r="BA49" i="33"/>
  <c r="LD10" i="33"/>
  <c r="ER19" i="33"/>
  <c r="EP19" i="33"/>
  <c r="EQ19" i="33"/>
  <c r="AJ58" i="33"/>
  <c r="W54" i="33"/>
  <c r="JU9" i="33"/>
  <c r="JT9" i="33"/>
  <c r="AX48" i="33"/>
  <c r="JS9" i="33"/>
  <c r="LL11" i="33"/>
  <c r="LI88" i="33" s="1"/>
  <c r="LK11" i="33"/>
  <c r="LG88" i="33" s="1"/>
  <c r="LJ88" i="33" s="1"/>
  <c r="T24" i="24"/>
  <c r="U24" i="24"/>
  <c r="BP36" i="33"/>
  <c r="AA75" i="33"/>
  <c r="BQ36" i="33"/>
  <c r="BO36" i="33"/>
  <c r="BD65" i="33"/>
  <c r="GF32" i="33"/>
  <c r="GC109" i="33" s="1"/>
  <c r="GG32" i="33"/>
  <c r="GE109" i="33" s="1"/>
  <c r="AX43" i="33"/>
  <c r="ME22" i="33"/>
  <c r="MB99" i="33" s="1"/>
  <c r="MD22" i="33"/>
  <c r="LZ99" i="33" s="1"/>
  <c r="DX32" i="33"/>
  <c r="DY32" i="33"/>
  <c r="DW32" i="33"/>
  <c r="AH71" i="33"/>
  <c r="IN23" i="33"/>
  <c r="IK100" i="33" s="1"/>
  <c r="IM23" i="33"/>
  <c r="II100" i="33" s="1"/>
  <c r="BF30" i="33"/>
  <c r="BC107" i="33" s="1"/>
  <c r="BE30" i="33"/>
  <c r="BA107" i="33" s="1"/>
  <c r="EU27" i="33"/>
  <c r="ES104" i="33" s="1"/>
  <c r="ET27" i="33"/>
  <c r="EQ104" i="33" s="1"/>
  <c r="GH33" i="33"/>
  <c r="GD110" i="33" s="1"/>
  <c r="GI33" i="33"/>
  <c r="GF110" i="33" s="1"/>
  <c r="AO46" i="33"/>
  <c r="IG29" i="33"/>
  <c r="IH29" i="33"/>
  <c r="AT68" i="33"/>
  <c r="II29" i="33"/>
  <c r="BW27" i="33"/>
  <c r="BU104" i="33" s="1"/>
  <c r="BV27" i="33"/>
  <c r="BS104" i="33" s="1"/>
  <c r="AI47" i="33"/>
  <c r="EQ15" i="33"/>
  <c r="AJ54" i="33"/>
  <c r="ER15" i="33"/>
  <c r="EP15" i="33"/>
  <c r="FI15" i="33"/>
  <c r="FJ15" i="33"/>
  <c r="FK15" i="33"/>
  <c r="AL54" i="33"/>
  <c r="AR52" i="33"/>
  <c r="U69" i="33"/>
  <c r="K30" i="33"/>
  <c r="J30" i="33"/>
  <c r="L30" i="33"/>
  <c r="AL4" i="33"/>
  <c r="AH81" i="33" s="1"/>
  <c r="AI38" i="33"/>
  <c r="AM4" i="33"/>
  <c r="AJ81" i="33" s="1"/>
  <c r="JW8" i="33"/>
  <c r="JT85" i="33" s="1"/>
  <c r="JX8" i="33"/>
  <c r="JV85" i="33" s="1"/>
  <c r="AO44" i="33"/>
  <c r="AB72" i="33"/>
  <c r="FO7" i="33"/>
  <c r="FK84" i="33" s="1"/>
  <c r="FP7" i="33"/>
  <c r="FM84" i="33" s="1"/>
  <c r="AD58" i="33"/>
  <c r="AQ45" i="33"/>
  <c r="KJ7" i="33"/>
  <c r="AY46" i="33"/>
  <c r="KK7" i="33"/>
  <c r="KI7" i="33"/>
  <c r="Z52" i="33"/>
  <c r="DH7" i="33"/>
  <c r="DE84" i="33" s="1"/>
  <c r="DI7" i="33"/>
  <c r="DG84" i="33" s="1"/>
  <c r="AD62" i="33"/>
  <c r="Y59" i="33"/>
  <c r="AW35" i="33"/>
  <c r="Y74" i="33"/>
  <c r="AV35" i="33"/>
  <c r="AX35" i="33"/>
  <c r="Y67" i="33"/>
  <c r="AC76" i="33"/>
  <c r="CJ37" i="33"/>
  <c r="CH37" i="33"/>
  <c r="CI37" i="33"/>
  <c r="AM70" i="33"/>
  <c r="AF61" i="33"/>
  <c r="DF22" i="33"/>
  <c r="DE22" i="33"/>
  <c r="DD22" i="33"/>
  <c r="FM30" i="33"/>
  <c r="FJ107" i="33" s="1"/>
  <c r="FN30" i="33"/>
  <c r="FL107" i="33" s="1"/>
  <c r="V51" i="33"/>
  <c r="X74" i="33"/>
  <c r="AG35" i="33"/>
  <c r="AF35" i="33"/>
  <c r="AH35" i="33"/>
  <c r="DH13" i="33"/>
  <c r="DE90" i="33" s="1"/>
  <c r="DI13" i="33"/>
  <c r="DG90" i="33" s="1"/>
  <c r="CO7" i="33"/>
  <c r="CL84" i="33" s="1"/>
  <c r="CP7" i="33"/>
  <c r="CN84" i="33" s="1"/>
  <c r="Q6" i="33"/>
  <c r="N83" i="33" s="1"/>
  <c r="R6" i="33"/>
  <c r="P83" i="33" s="1"/>
  <c r="Q37" i="24"/>
  <c r="Q38" i="24"/>
  <c r="Q41" i="24"/>
  <c r="GG26" i="33"/>
  <c r="GE103" i="33" s="1"/>
  <c r="GF26" i="33"/>
  <c r="GC103" i="33" s="1"/>
  <c r="AD76" i="33"/>
  <c r="GI35" i="33"/>
  <c r="GF112" i="33" s="1"/>
  <c r="GH35" i="33"/>
  <c r="GD112" i="33" s="1"/>
  <c r="GG112" i="33" s="1"/>
  <c r="JW32" i="33"/>
  <c r="JT109" i="33" s="1"/>
  <c r="JX32" i="33"/>
  <c r="JV109" i="33" s="1"/>
  <c r="AO62" i="33"/>
  <c r="AW74" i="33"/>
  <c r="JR35" i="33"/>
  <c r="JQ35" i="33"/>
  <c r="JP35" i="33"/>
  <c r="IK33" i="33"/>
  <c r="IH110" i="33" s="1"/>
  <c r="IL33" i="33"/>
  <c r="IJ110" i="33" s="1"/>
  <c r="BF21" i="33"/>
  <c r="BC98" i="33" s="1"/>
  <c r="BE21" i="33"/>
  <c r="BA98" i="33" s="1"/>
  <c r="JF6" i="33"/>
  <c r="JB83" i="33" s="1"/>
  <c r="JG6" i="33"/>
  <c r="JD83" i="33" s="1"/>
  <c r="JR30" i="33"/>
  <c r="JQ30" i="33"/>
  <c r="JP30" i="33"/>
  <c r="AW69" i="33"/>
  <c r="Q33" i="33"/>
  <c r="N110" i="33" s="1"/>
  <c r="R33" i="33"/>
  <c r="P110" i="33" s="1"/>
  <c r="AO55" i="33"/>
  <c r="AZ48" i="33"/>
  <c r="CP29" i="33"/>
  <c r="CN106" i="33" s="1"/>
  <c r="CO29" i="33"/>
  <c r="CL106" i="33" s="1"/>
  <c r="Y63" i="33"/>
  <c r="ED9" i="33"/>
  <c r="EA86" i="33" s="1"/>
  <c r="EC9" i="33"/>
  <c r="DY86" i="33" s="1"/>
  <c r="GV16" i="33"/>
  <c r="AP55" i="33"/>
  <c r="GW16" i="33"/>
  <c r="GU16" i="33"/>
  <c r="AW70" i="33"/>
  <c r="JF35" i="33"/>
  <c r="JB112" i="33" s="1"/>
  <c r="JG35" i="33"/>
  <c r="JD112" i="33" s="1"/>
  <c r="HL36" i="33"/>
  <c r="HK36" i="33"/>
  <c r="HM36" i="33"/>
  <c r="AQ75" i="33"/>
  <c r="GI6" i="33"/>
  <c r="GF83" i="33" s="1"/>
  <c r="GH6" i="33"/>
  <c r="GD83" i="33" s="1"/>
  <c r="HB28" i="33"/>
  <c r="GY105" i="33" s="1"/>
  <c r="HA28" i="33"/>
  <c r="GW105" i="33" s="1"/>
  <c r="GZ105" i="33" s="1"/>
  <c r="IF19" i="33"/>
  <c r="ID19" i="33"/>
  <c r="AS58" i="33"/>
  <c r="IE19" i="33"/>
  <c r="AR44" i="33"/>
  <c r="CQ36" i="33"/>
  <c r="CM113" i="33" s="1"/>
  <c r="CR36" i="33"/>
  <c r="CO113" i="33" s="1"/>
  <c r="AF47" i="33"/>
  <c r="DD8" i="33"/>
  <c r="DE8" i="33"/>
  <c r="DF8" i="33"/>
  <c r="AB74" i="33"/>
  <c r="AN48" i="33"/>
  <c r="GB9" i="33"/>
  <c r="GD9" i="33"/>
  <c r="GC9" i="33"/>
  <c r="AP63" i="33"/>
  <c r="IN34" i="33"/>
  <c r="IK111" i="33" s="1"/>
  <c r="IM34" i="33"/>
  <c r="II111" i="33" s="1"/>
  <c r="IL111" i="33" s="1"/>
  <c r="CQ30" i="33"/>
  <c r="CM107" i="33" s="1"/>
  <c r="CR30" i="33"/>
  <c r="CO107" i="33" s="1"/>
  <c r="CR26" i="33"/>
  <c r="CO103" i="33" s="1"/>
  <c r="CQ26" i="33"/>
  <c r="CM103" i="33" s="1"/>
  <c r="CP103" i="33" s="1"/>
  <c r="HU10" i="33"/>
  <c r="HR87" i="33" s="1"/>
  <c r="HT10" i="33"/>
  <c r="HP87" i="33" s="1"/>
  <c r="BB63" i="33"/>
  <c r="AC55" i="33"/>
  <c r="AE71" i="33"/>
  <c r="C41" i="24"/>
  <c r="C37" i="24"/>
  <c r="C38" i="24"/>
  <c r="BO13" i="33"/>
  <c r="BQ13" i="33"/>
  <c r="AA52" i="33"/>
  <c r="BP13" i="33"/>
  <c r="AA55" i="33"/>
  <c r="GC35" i="33"/>
  <c r="GD35" i="33"/>
  <c r="AN74" i="33"/>
  <c r="GB35" i="33"/>
  <c r="HS34" i="33"/>
  <c r="HQ111" i="33" s="1"/>
  <c r="HR34" i="33"/>
  <c r="HO111" i="33" s="1"/>
  <c r="HS111" i="33" s="1"/>
  <c r="LK36" i="33"/>
  <c r="LG113" i="33" s="1"/>
  <c r="LL36" i="33"/>
  <c r="LI113" i="33" s="1"/>
  <c r="GI7" i="33"/>
  <c r="GF84" i="33" s="1"/>
  <c r="GH7" i="33"/>
  <c r="GD84" i="33" s="1"/>
  <c r="IL12" i="33"/>
  <c r="IJ89" i="33" s="1"/>
  <c r="IK12" i="33"/>
  <c r="IH89" i="33" s="1"/>
  <c r="BB65" i="33"/>
  <c r="AQ63" i="33"/>
  <c r="KI23" i="33"/>
  <c r="AY62" i="33"/>
  <c r="KJ23" i="33"/>
  <c r="KK23" i="33"/>
  <c r="BX8" i="33"/>
  <c r="BT85" i="33" s="1"/>
  <c r="BY8" i="33"/>
  <c r="BV85" i="33" s="1"/>
  <c r="AK12" i="33"/>
  <c r="AI89" i="33" s="1"/>
  <c r="AJ12" i="33"/>
  <c r="AG89" i="33" s="1"/>
  <c r="AK89" i="33" s="1"/>
  <c r="HL7" i="33"/>
  <c r="AQ46" i="33"/>
  <c r="HM7" i="33"/>
  <c r="HK7" i="33"/>
  <c r="T26" i="24"/>
  <c r="U26" i="24"/>
  <c r="AW52" i="33"/>
  <c r="EV13" i="33"/>
  <c r="ER90" i="33" s="1"/>
  <c r="EW13" i="33"/>
  <c r="ET90" i="33" s="1"/>
  <c r="AJ50" i="33"/>
  <c r="O29" i="33"/>
  <c r="M29" i="33"/>
  <c r="V68" i="33"/>
  <c r="N29" i="33"/>
  <c r="HR25" i="33"/>
  <c r="HO102" i="33" s="1"/>
  <c r="HS25" i="33"/>
  <c r="HQ102" i="33" s="1"/>
  <c r="JD23" i="33"/>
  <c r="JA100" i="33" s="1"/>
  <c r="JE23" i="33"/>
  <c r="JC100" i="33" s="1"/>
  <c r="ED5" i="33"/>
  <c r="EA82" i="33" s="1"/>
  <c r="EC5" i="33"/>
  <c r="T36" i="24"/>
  <c r="U36" i="24"/>
  <c r="AT70" i="33"/>
  <c r="X49" i="33"/>
  <c r="AQ53" i="33"/>
  <c r="BE16" i="33"/>
  <c r="BA93" i="33" s="1"/>
  <c r="BF16" i="33"/>
  <c r="BC93" i="33" s="1"/>
  <c r="U17" i="24"/>
  <c r="T17" i="24"/>
  <c r="AK72" i="33"/>
  <c r="GA14" i="33"/>
  <c r="FZ14" i="33"/>
  <c r="FY14" i="33"/>
  <c r="AM53" i="33"/>
  <c r="JE7" i="33"/>
  <c r="JC84" i="33" s="1"/>
  <c r="JD7" i="33"/>
  <c r="JA84" i="33" s="1"/>
  <c r="BS18" i="33"/>
  <c r="BR18" i="33"/>
  <c r="AB57" i="33"/>
  <c r="BT18" i="33"/>
  <c r="AW62" i="33"/>
  <c r="EA35" i="33"/>
  <c r="DX112" i="33" s="1"/>
  <c r="EB35" i="33"/>
  <c r="DZ112" i="33" s="1"/>
  <c r="K41" i="24"/>
  <c r="K37" i="24"/>
  <c r="K38" i="24"/>
  <c r="T18" i="33"/>
  <c r="Q95" i="33" s="1"/>
  <c r="S18" i="33"/>
  <c r="O95" i="33" s="1"/>
  <c r="R95" i="33" s="1"/>
  <c r="AM52" i="33"/>
  <c r="AX51" i="33"/>
  <c r="AU45" i="33"/>
  <c r="JW28" i="33"/>
  <c r="JT105" i="33" s="1"/>
  <c r="JX28" i="33"/>
  <c r="JV105" i="33" s="1"/>
  <c r="AI52" i="33"/>
  <c r="T13" i="33"/>
  <c r="Q90" i="33" s="1"/>
  <c r="S13" i="33"/>
  <c r="O90" i="33" s="1"/>
  <c r="R90" i="33" s="1"/>
  <c r="AT67" i="33"/>
  <c r="AV31" i="33"/>
  <c r="Y70" i="33"/>
  <c r="AW31" i="33"/>
  <c r="AX31" i="33"/>
  <c r="M23" i="33"/>
  <c r="V62" i="33"/>
  <c r="N23" i="33"/>
  <c r="O23" i="33"/>
  <c r="AP48" i="33"/>
  <c r="AC73" i="33"/>
  <c r="KI25" i="33"/>
  <c r="KJ25" i="33"/>
  <c r="KK25" i="33"/>
  <c r="AY64" i="33"/>
  <c r="AE7" i="33"/>
  <c r="W46" i="33"/>
  <c r="AC7" i="33"/>
  <c r="AD7" i="33"/>
  <c r="AT51" i="33"/>
  <c r="GB25" i="33"/>
  <c r="GC25" i="33"/>
  <c r="GD25" i="33"/>
  <c r="AN64" i="33"/>
  <c r="AA66" i="33"/>
  <c r="BP27" i="33"/>
  <c r="BO27" i="33"/>
  <c r="BQ27" i="33"/>
  <c r="HT22" i="33"/>
  <c r="HP99" i="33" s="1"/>
  <c r="HU22" i="33"/>
  <c r="HR99" i="33" s="1"/>
  <c r="LU30" i="33"/>
  <c r="BC69" i="33"/>
  <c r="LV30" i="33"/>
  <c r="LW30" i="33"/>
  <c r="BD44" i="33"/>
  <c r="X68" i="33"/>
  <c r="AG29" i="33"/>
  <c r="AH29" i="33"/>
  <c r="AF29" i="33"/>
  <c r="IL6" i="33"/>
  <c r="IJ83" i="33" s="1"/>
  <c r="IK6" i="33"/>
  <c r="IH83" i="33" s="1"/>
  <c r="AF22" i="33"/>
  <c r="AH22" i="33"/>
  <c r="AG22" i="33"/>
  <c r="X61" i="33"/>
  <c r="AV70" i="33"/>
  <c r="BT24" i="33"/>
  <c r="BR24" i="33"/>
  <c r="AB63" i="33"/>
  <c r="BS24" i="33"/>
  <c r="EV24" i="33"/>
  <c r="ER101" i="33" s="1"/>
  <c r="EU101" i="33" s="1"/>
  <c r="EW24" i="33"/>
  <c r="ET101" i="33" s="1"/>
  <c r="AI61" i="33"/>
  <c r="AJ36" i="33"/>
  <c r="AG113" i="33" s="1"/>
  <c r="AK113" i="33" s="1"/>
  <c r="AK36" i="33"/>
  <c r="AI113" i="33" s="1"/>
  <c r="AO75" i="33"/>
  <c r="AS55" i="33"/>
  <c r="FI11" i="33"/>
  <c r="AL50" i="33"/>
  <c r="FJ11" i="33"/>
  <c r="FK11" i="33"/>
  <c r="AT58" i="33"/>
  <c r="IW13" i="33"/>
  <c r="AU52" i="33"/>
  <c r="IX13" i="33"/>
  <c r="IY13" i="33"/>
  <c r="CK30" i="33"/>
  <c r="AD69" i="33"/>
  <c r="CM30" i="33"/>
  <c r="CL30" i="33"/>
  <c r="JU18" i="33"/>
  <c r="JT18" i="33"/>
  <c r="AX57" i="33"/>
  <c r="JS18" i="33"/>
  <c r="AM76" i="33"/>
  <c r="LF36" i="33"/>
  <c r="BB75" i="33"/>
  <c r="LE36" i="33"/>
  <c r="LG36" i="33"/>
  <c r="AD25" i="33"/>
  <c r="W64" i="33"/>
  <c r="AC25" i="33"/>
  <c r="AE25" i="33"/>
  <c r="AY63" i="33"/>
  <c r="JG22" i="33"/>
  <c r="JD99" i="33" s="1"/>
  <c r="JF22" i="33"/>
  <c r="JB99" i="33" s="1"/>
  <c r="Q15" i="33"/>
  <c r="N92" i="33" s="1"/>
  <c r="R15" i="33"/>
  <c r="P92" i="33" s="1"/>
  <c r="R92" i="33" s="1"/>
  <c r="AS71" i="33"/>
  <c r="BD55" i="33"/>
  <c r="AP50" i="33"/>
  <c r="FY28" i="33"/>
  <c r="GA28" i="33"/>
  <c r="FZ28" i="33"/>
  <c r="AM67" i="33"/>
  <c r="MD35" i="33"/>
  <c r="LZ112" i="33" s="1"/>
  <c r="ME35" i="33"/>
  <c r="MB112" i="33" s="1"/>
  <c r="AP72" i="33"/>
  <c r="LY27" i="33"/>
  <c r="LX27" i="33"/>
  <c r="LZ27" i="33"/>
  <c r="BD66" i="33"/>
  <c r="AQ69" i="33"/>
  <c r="Y47" i="33"/>
  <c r="AY56" i="33"/>
  <c r="X53" i="33"/>
  <c r="AK26" i="33"/>
  <c r="AI103" i="33" s="1"/>
  <c r="AJ26" i="33"/>
  <c r="AG103" i="33" s="1"/>
  <c r="HT35" i="33"/>
  <c r="HP112" i="33" s="1"/>
  <c r="HU35" i="33"/>
  <c r="HR112" i="33" s="1"/>
  <c r="Z73" i="33"/>
  <c r="AZ34" i="33"/>
  <c r="BA34" i="33"/>
  <c r="AY34" i="33"/>
  <c r="AJ5" i="33"/>
  <c r="AG82" i="33" s="1"/>
  <c r="AK5" i="33"/>
  <c r="AI82" i="33" s="1"/>
  <c r="HU24" i="33"/>
  <c r="HR101" i="33" s="1"/>
  <c r="HT24" i="33"/>
  <c r="HP101" i="33" s="1"/>
  <c r="O21" i="33"/>
  <c r="N21" i="33"/>
  <c r="V60" i="33"/>
  <c r="M21" i="33"/>
  <c r="JF14" i="33"/>
  <c r="JB91" i="33" s="1"/>
  <c r="JG14" i="33"/>
  <c r="JD91" i="33" s="1"/>
  <c r="BF8" i="33"/>
  <c r="BC85" i="33" s="1"/>
  <c r="BE8" i="33"/>
  <c r="BA85" i="33" s="1"/>
  <c r="BD85" i="33" s="1"/>
  <c r="AT64" i="33"/>
  <c r="IG25" i="33"/>
  <c r="II25" i="33"/>
  <c r="IH25" i="33"/>
  <c r="BA16" i="33"/>
  <c r="Z55" i="33"/>
  <c r="AY16" i="33"/>
  <c r="AZ16" i="33"/>
  <c r="AI67" i="33"/>
  <c r="AA50" i="33"/>
  <c r="BQ11" i="33"/>
  <c r="BP11" i="33"/>
  <c r="BO11" i="33"/>
  <c r="CQ12" i="33"/>
  <c r="CM89" i="33" s="1"/>
  <c r="CR12" i="33"/>
  <c r="CO89" i="33" s="1"/>
  <c r="AL51" i="33"/>
  <c r="DB21" i="33"/>
  <c r="AE60" i="33"/>
  <c r="DC21" i="33"/>
  <c r="DA21" i="33"/>
  <c r="AY74" i="33"/>
  <c r="HN4" i="33"/>
  <c r="AR43" i="33"/>
  <c r="HP4" i="33"/>
  <c r="HO4" i="33"/>
  <c r="KR24" i="33"/>
  <c r="KN101" i="33" s="1"/>
  <c r="KS24" i="33"/>
  <c r="KP101" i="33" s="1"/>
  <c r="LZ37" i="33"/>
  <c r="BD76" i="33"/>
  <c r="LY37" i="33"/>
  <c r="LX37" i="33"/>
  <c r="LI14" i="33"/>
  <c r="LF91" i="33" s="1"/>
  <c r="LJ91" i="33" s="1"/>
  <c r="LJ14" i="33"/>
  <c r="LH91" i="33" s="1"/>
  <c r="BC22" i="33"/>
  <c r="AZ99" i="33" s="1"/>
  <c r="BD22" i="33"/>
  <c r="BB99" i="33" s="1"/>
  <c r="AN65" i="33"/>
  <c r="CJ19" i="33"/>
  <c r="AC58" i="33"/>
  <c r="CI19" i="33"/>
  <c r="CH19" i="33"/>
  <c r="KK32" i="33"/>
  <c r="KI32" i="33"/>
  <c r="AY71" i="33"/>
  <c r="KJ32" i="33"/>
  <c r="JE16" i="33"/>
  <c r="JC93" i="33" s="1"/>
  <c r="JD16" i="33"/>
  <c r="JA93" i="33" s="1"/>
  <c r="AA69" i="33"/>
  <c r="V56" i="33"/>
  <c r="ER22" i="33"/>
  <c r="AJ61" i="33"/>
  <c r="EQ22" i="33"/>
  <c r="EP22" i="33"/>
  <c r="BD4" i="33"/>
  <c r="BB81" i="33" s="1"/>
  <c r="BB38" i="33"/>
  <c r="BC4" i="33"/>
  <c r="LF21" i="33"/>
  <c r="LE21" i="33"/>
  <c r="BB60" i="33"/>
  <c r="LG21" i="33"/>
  <c r="LJ18" i="33"/>
  <c r="LH95" i="33" s="1"/>
  <c r="LI18" i="33"/>
  <c r="LF95" i="33" s="1"/>
  <c r="X43" i="33"/>
  <c r="AG4" i="33"/>
  <c r="AF4" i="33"/>
  <c r="AH4" i="33"/>
  <c r="U63" i="33"/>
  <c r="L24" i="33"/>
  <c r="J24" i="33"/>
  <c r="K24" i="33"/>
  <c r="AP58" i="33"/>
  <c r="BD73" i="33"/>
  <c r="AT76" i="33"/>
  <c r="HS20" i="33"/>
  <c r="HQ97" i="33" s="1"/>
  <c r="HR20" i="33"/>
  <c r="HO97" i="33" s="1"/>
  <c r="KS13" i="33"/>
  <c r="KP90" i="33" s="1"/>
  <c r="KR13" i="33"/>
  <c r="KN90" i="33" s="1"/>
  <c r="FN14" i="33"/>
  <c r="FL91" i="33" s="1"/>
  <c r="FM14" i="33"/>
  <c r="FJ91" i="33" s="1"/>
  <c r="HR27" i="33"/>
  <c r="HO104" i="33" s="1"/>
  <c r="HS27" i="33"/>
  <c r="HQ104" i="33" s="1"/>
  <c r="AH60" i="33"/>
  <c r="DX21" i="33"/>
  <c r="DY21" i="33"/>
  <c r="DW21" i="33"/>
  <c r="BB57" i="33"/>
  <c r="Z64" i="33"/>
  <c r="AD43" i="33"/>
  <c r="DJ8" i="33"/>
  <c r="DF85" i="33" s="1"/>
  <c r="DK8" i="33"/>
  <c r="DH85" i="33" s="1"/>
  <c r="KL4" i="33"/>
  <c r="AZ43" i="33"/>
  <c r="KM4" i="33"/>
  <c r="KN4" i="33"/>
  <c r="AF37" i="33"/>
  <c r="AH37" i="33"/>
  <c r="X76" i="33"/>
  <c r="AG37" i="33"/>
  <c r="EU21" i="33"/>
  <c r="ES98" i="33" s="1"/>
  <c r="ET21" i="33"/>
  <c r="EQ98" i="33" s="1"/>
  <c r="BW33" i="33"/>
  <c r="BU110" i="33" s="1"/>
  <c r="BV33" i="33"/>
  <c r="BS110" i="33" s="1"/>
  <c r="ED36" i="33"/>
  <c r="EA113" i="33" s="1"/>
  <c r="EC36" i="33"/>
  <c r="DY113" i="33" s="1"/>
  <c r="LU16" i="33"/>
  <c r="LV16" i="33"/>
  <c r="LW16" i="33"/>
  <c r="BC55" i="33"/>
  <c r="KQ29" i="33"/>
  <c r="KO106" i="33" s="1"/>
  <c r="KP29" i="33"/>
  <c r="KM106" i="33" s="1"/>
  <c r="AN44" i="33"/>
  <c r="AG74" i="33"/>
  <c r="DT35" i="33"/>
  <c r="DU35" i="33"/>
  <c r="DV35" i="33"/>
  <c r="BD37" i="33"/>
  <c r="BB114" i="33" s="1"/>
  <c r="BC37" i="33"/>
  <c r="AZ114" i="33" s="1"/>
  <c r="HB12" i="33"/>
  <c r="GY89" i="33" s="1"/>
  <c r="HA12" i="33"/>
  <c r="GW89" i="33" s="1"/>
  <c r="BV20" i="33"/>
  <c r="BS97" i="33" s="1"/>
  <c r="BW20" i="33"/>
  <c r="BU97" i="33" s="1"/>
  <c r="AF24" i="33"/>
  <c r="AH24" i="33"/>
  <c r="X63" i="33"/>
  <c r="AG24" i="33"/>
  <c r="ID8" i="33"/>
  <c r="AS47" i="33"/>
  <c r="IE8" i="33"/>
  <c r="IF8" i="33"/>
  <c r="Y66" i="33"/>
  <c r="AX27" i="33"/>
  <c r="AV27" i="33"/>
  <c r="AW27" i="33"/>
  <c r="AZ62" i="33"/>
  <c r="EB31" i="33"/>
  <c r="DZ108" i="33" s="1"/>
  <c r="EA31" i="33"/>
  <c r="DX108" i="33" s="1"/>
  <c r="AL65" i="33"/>
  <c r="LU8" i="33"/>
  <c r="BC47" i="33"/>
  <c r="LW8" i="33"/>
  <c r="LV8" i="33"/>
  <c r="DK12" i="33"/>
  <c r="DH89" i="33" s="1"/>
  <c r="DJ12" i="33"/>
  <c r="DF89" i="33" s="1"/>
  <c r="GH22" i="33"/>
  <c r="GD99" i="33" s="1"/>
  <c r="GI22" i="33"/>
  <c r="GF99" i="33" s="1"/>
  <c r="DD4" i="33"/>
  <c r="DF4" i="33"/>
  <c r="AF43" i="33"/>
  <c r="DE4" i="33"/>
  <c r="AH54" i="33"/>
  <c r="KQ21" i="33"/>
  <c r="KO98" i="33" s="1"/>
  <c r="KP21" i="33"/>
  <c r="KM98" i="33" s="1"/>
  <c r="HS9" i="33"/>
  <c r="HQ86" i="33" s="1"/>
  <c r="HR9" i="33"/>
  <c r="HO86" i="33" s="1"/>
  <c r="AS46" i="33"/>
  <c r="GD15" i="33"/>
  <c r="GB15" i="33"/>
  <c r="AN54" i="33"/>
  <c r="GC15" i="33"/>
  <c r="AR65" i="33"/>
  <c r="HP26" i="33"/>
  <c r="HO26" i="33"/>
  <c r="HN26" i="33"/>
  <c r="DI25" i="33"/>
  <c r="DG102" i="33" s="1"/>
  <c r="DH25" i="33"/>
  <c r="DE102" i="33" s="1"/>
  <c r="Y73" i="33"/>
  <c r="CP19" i="33"/>
  <c r="CN96" i="33" s="1"/>
  <c r="CO19" i="33"/>
  <c r="CL96" i="33" s="1"/>
  <c r="LE33" i="33"/>
  <c r="LF33" i="33"/>
  <c r="LG33" i="33"/>
  <c r="BB72" i="33"/>
  <c r="BA66" i="33"/>
  <c r="FI29" i="33"/>
  <c r="FK29" i="33"/>
  <c r="AL68" i="33"/>
  <c r="FJ29" i="33"/>
  <c r="Q12" i="33"/>
  <c r="N89" i="33" s="1"/>
  <c r="R89" i="33" s="1"/>
  <c r="R12" i="33"/>
  <c r="P89" i="33" s="1"/>
  <c r="V53" i="33"/>
  <c r="FN12" i="33"/>
  <c r="FL89" i="33" s="1"/>
  <c r="FM12" i="33"/>
  <c r="FJ89" i="33" s="1"/>
  <c r="AE73" i="33"/>
  <c r="LB16" i="33"/>
  <c r="BA55" i="33"/>
  <c r="LD16" i="33"/>
  <c r="LC16" i="33"/>
  <c r="II36" i="33"/>
  <c r="IG36" i="33"/>
  <c r="IH36" i="33"/>
  <c r="AT75" i="33"/>
  <c r="KJ9" i="33"/>
  <c r="KI9" i="33"/>
  <c r="KK9" i="33"/>
  <c r="AY48" i="33"/>
  <c r="AW68" i="33"/>
  <c r="AW57" i="33"/>
  <c r="BT19" i="33"/>
  <c r="BS19" i="33"/>
  <c r="AB58" i="33"/>
  <c r="BR19" i="33"/>
  <c r="T21" i="24"/>
  <c r="V21" i="24" s="1"/>
  <c r="U21" i="24"/>
  <c r="AG60" i="33"/>
  <c r="AQ76" i="33"/>
  <c r="BC27" i="33"/>
  <c r="AZ104" i="33" s="1"/>
  <c r="BD27" i="33"/>
  <c r="BB104" i="33" s="1"/>
  <c r="HT4" i="33"/>
  <c r="HU4" i="33"/>
  <c r="HR81" i="33" s="1"/>
  <c r="HQ38" i="33"/>
  <c r="BB49" i="33"/>
  <c r="AQ60" i="33"/>
  <c r="HM21" i="33"/>
  <c r="HK21" i="33"/>
  <c r="HL21" i="33"/>
  <c r="HT33" i="33"/>
  <c r="HP110" i="33" s="1"/>
  <c r="HU33" i="33"/>
  <c r="HR110" i="33" s="1"/>
  <c r="AS75" i="33"/>
  <c r="AX74" i="33"/>
  <c r="IX21" i="33"/>
  <c r="IY21" i="33"/>
  <c r="IW21" i="33"/>
  <c r="AU60" i="33"/>
  <c r="IL17" i="33"/>
  <c r="IJ94" i="33" s="1"/>
  <c r="IK17" i="33"/>
  <c r="IH94" i="33" s="1"/>
  <c r="JW30" i="33"/>
  <c r="JT107" i="33" s="1"/>
  <c r="JX107" i="33" s="1"/>
  <c r="JX30" i="33"/>
  <c r="JV107" i="33" s="1"/>
  <c r="AO73" i="33"/>
  <c r="CO27" i="33"/>
  <c r="CL104" i="33" s="1"/>
  <c r="CP27" i="33"/>
  <c r="CN104" i="33" s="1"/>
  <c r="JP19" i="33"/>
  <c r="JR19" i="33"/>
  <c r="AW58" i="33"/>
  <c r="JQ19" i="33"/>
  <c r="AL72" i="33"/>
  <c r="FJ33" i="33"/>
  <c r="FI33" i="33"/>
  <c r="FK33" i="33"/>
  <c r="EB19" i="33"/>
  <c r="DZ96" i="33" s="1"/>
  <c r="EA19" i="33"/>
  <c r="DX96" i="33" s="1"/>
  <c r="AS62" i="33"/>
  <c r="CP17" i="33"/>
  <c r="CN94" i="33" s="1"/>
  <c r="CO17" i="33"/>
  <c r="CL94" i="33" s="1"/>
  <c r="FZ16" i="33"/>
  <c r="GA16" i="33"/>
  <c r="AM55" i="33"/>
  <c r="FY16" i="33"/>
  <c r="V43" i="33"/>
  <c r="FP21" i="33"/>
  <c r="FM98" i="33" s="1"/>
  <c r="FO21" i="33"/>
  <c r="FK98" i="33" s="1"/>
  <c r="LE23" i="33"/>
  <c r="LG23" i="33"/>
  <c r="LF23" i="33"/>
  <c r="BB62" i="33"/>
  <c r="FJ17" i="33"/>
  <c r="AL56" i="33"/>
  <c r="FI17" i="33"/>
  <c r="FK17" i="33"/>
  <c r="M27" i="33"/>
  <c r="V66" i="33"/>
  <c r="O27" i="33"/>
  <c r="N27" i="33"/>
  <c r="Z43" i="33"/>
  <c r="U64" i="33"/>
  <c r="AY43" i="33"/>
  <c r="AO50" i="33"/>
  <c r="GR11" i="33"/>
  <c r="GS11" i="33"/>
  <c r="GT11" i="33"/>
  <c r="MB18" i="33"/>
  <c r="LY95" i="33" s="1"/>
  <c r="MC95" i="33" s="1"/>
  <c r="MC18" i="33"/>
  <c r="MA95" i="33" s="1"/>
  <c r="T7" i="24"/>
  <c r="U7" i="24"/>
  <c r="BC64" i="33"/>
  <c r="HA18" i="33"/>
  <c r="GW95" i="33" s="1"/>
  <c r="HB18" i="33"/>
  <c r="GY95" i="33" s="1"/>
  <c r="AP54" i="33"/>
  <c r="BR4" i="33"/>
  <c r="BT4" i="33"/>
  <c r="AB43" i="33"/>
  <c r="BS4" i="33"/>
  <c r="Z61" i="33"/>
  <c r="DU24" i="33"/>
  <c r="DV24" i="33"/>
  <c r="DT24" i="33"/>
  <c r="AG63" i="33"/>
  <c r="JA19" i="33"/>
  <c r="JB19" i="33"/>
  <c r="IZ19" i="33"/>
  <c r="AV58" i="33"/>
  <c r="AD52" i="33"/>
  <c r="BA59" i="33"/>
  <c r="BC50" i="33"/>
  <c r="AB64" i="33"/>
  <c r="Z53" i="33"/>
  <c r="BA14" i="33"/>
  <c r="AZ14" i="33"/>
  <c r="AY14" i="33"/>
  <c r="FN8" i="33"/>
  <c r="FL85" i="33" s="1"/>
  <c r="FM8" i="33"/>
  <c r="FJ85" i="33" s="1"/>
  <c r="BA70" i="33"/>
  <c r="AF49" i="33"/>
  <c r="DF10" i="33"/>
  <c r="DD10" i="33"/>
  <c r="DE10" i="33"/>
  <c r="AK48" i="33"/>
  <c r="AV71" i="33"/>
  <c r="AT65" i="33"/>
  <c r="AB50" i="33"/>
  <c r="AI63" i="33"/>
  <c r="LY25" i="33"/>
  <c r="LX25" i="33"/>
  <c r="LZ25" i="33"/>
  <c r="BD64" i="33"/>
  <c r="MC14" i="33"/>
  <c r="MA91" i="33" s="1"/>
  <c r="MB14" i="33"/>
  <c r="LY91" i="33" s="1"/>
  <c r="AZ53" i="33"/>
  <c r="JE36" i="33"/>
  <c r="JC113" i="33" s="1"/>
  <c r="JD36" i="33"/>
  <c r="JA113" i="33" s="1"/>
  <c r="AE43" i="33"/>
  <c r="W43" i="33"/>
  <c r="AS49" i="33"/>
  <c r="IF10" i="33"/>
  <c r="IE10" i="33"/>
  <c r="ID10" i="33"/>
  <c r="FI37" i="33"/>
  <c r="FK37" i="33"/>
  <c r="FJ37" i="33"/>
  <c r="AL76" i="33"/>
  <c r="AH46" i="33"/>
  <c r="DY7" i="33"/>
  <c r="DW7" i="33"/>
  <c r="DX7" i="33"/>
  <c r="AR57" i="33"/>
  <c r="EU30" i="33"/>
  <c r="ES107" i="33" s="1"/>
  <c r="ET30" i="33"/>
  <c r="EQ107" i="33" s="1"/>
  <c r="EU107" i="33" s="1"/>
  <c r="AN49" i="33"/>
  <c r="JW12" i="33"/>
  <c r="JT89" i="33" s="1"/>
  <c r="JX12" i="33"/>
  <c r="JV89" i="33" s="1"/>
  <c r="JX89" i="33" s="1"/>
  <c r="MB12" i="33"/>
  <c r="LY89" i="33" s="1"/>
  <c r="MC89" i="33" s="1"/>
  <c r="MC12" i="33"/>
  <c r="MA89" i="33" s="1"/>
  <c r="AN53" i="33"/>
  <c r="IN36" i="33"/>
  <c r="IK113" i="33" s="1"/>
  <c r="IM36" i="33"/>
  <c r="II113" i="33" s="1"/>
  <c r="IL113" i="33" s="1"/>
  <c r="LL5" i="33"/>
  <c r="LI82" i="33" s="1"/>
  <c r="LK5" i="33"/>
  <c r="X65" i="33"/>
  <c r="AF19" i="33"/>
  <c r="AG19" i="33"/>
  <c r="X58" i="33"/>
  <c r="AH19" i="33"/>
  <c r="AR48" i="33"/>
  <c r="AJ75" i="33"/>
  <c r="AY51" i="33"/>
  <c r="BA46" i="33"/>
  <c r="JF8" i="33"/>
  <c r="JB85" i="33" s="1"/>
  <c r="JG8" i="33"/>
  <c r="JD85" i="33" s="1"/>
  <c r="N36" i="33"/>
  <c r="V75" i="33"/>
  <c r="O36" i="33"/>
  <c r="M36" i="33"/>
  <c r="AA57" i="33"/>
  <c r="KK16" i="33"/>
  <c r="KI16" i="33"/>
  <c r="KJ16" i="33"/>
  <c r="AY55" i="33"/>
  <c r="I41" i="24"/>
  <c r="I38" i="24"/>
  <c r="I37" i="24"/>
  <c r="AZ72" i="33"/>
  <c r="KM33" i="33"/>
  <c r="KN33" i="33"/>
  <c r="KL33" i="33"/>
  <c r="DH27" i="33"/>
  <c r="DE104" i="33" s="1"/>
  <c r="DI104" i="33" s="1"/>
  <c r="DI27" i="33"/>
  <c r="DG104" i="33" s="1"/>
  <c r="AC60" i="33"/>
  <c r="N38" i="24"/>
  <c r="N39" i="24" s="1"/>
  <c r="N37" i="24"/>
  <c r="N41" i="24"/>
  <c r="AE69" i="33"/>
  <c r="V45" i="33"/>
  <c r="AC34" i="33"/>
  <c r="AE34" i="33"/>
  <c r="W73" i="33"/>
  <c r="AD34" i="33"/>
  <c r="JY15" i="33"/>
  <c r="JU92" i="33" s="1"/>
  <c r="JZ15" i="33"/>
  <c r="JW92" i="33" s="1"/>
  <c r="KI5" i="33"/>
  <c r="KK5" i="33"/>
  <c r="AY44" i="33"/>
  <c r="KJ5" i="33"/>
  <c r="X57" i="33"/>
  <c r="AR51" i="33"/>
  <c r="HO12" i="33"/>
  <c r="HN12" i="33"/>
  <c r="HP12" i="33"/>
  <c r="AR69" i="33"/>
  <c r="HP30" i="33"/>
  <c r="HO30" i="33"/>
  <c r="HN30" i="33"/>
  <c r="AL45" i="33"/>
  <c r="EB28" i="33"/>
  <c r="DZ105" i="33" s="1"/>
  <c r="EA28" i="33"/>
  <c r="DX105" i="33" s="1"/>
  <c r="BC13" i="33"/>
  <c r="AZ90" i="33" s="1"/>
  <c r="BD13" i="33"/>
  <c r="BB90" i="33" s="1"/>
  <c r="AZ68" i="33"/>
  <c r="KJ18" i="33"/>
  <c r="KK18" i="33"/>
  <c r="KI18" i="33"/>
  <c r="AY57" i="33"/>
  <c r="DT10" i="33"/>
  <c r="AG49" i="33"/>
  <c r="DU10" i="33"/>
  <c r="DV10" i="33"/>
  <c r="JP12" i="33"/>
  <c r="AW51" i="33"/>
  <c r="JQ12" i="33"/>
  <c r="JR12" i="33"/>
  <c r="AU76" i="33"/>
  <c r="FM28" i="33"/>
  <c r="FJ105" i="33" s="1"/>
  <c r="FN28" i="33"/>
  <c r="FL105" i="33" s="1"/>
  <c r="ME7" i="33"/>
  <c r="MB84" i="33" s="1"/>
  <c r="MD7" i="33"/>
  <c r="LZ84" i="33" s="1"/>
  <c r="FH4" i="33"/>
  <c r="AK43" i="33"/>
  <c r="FF4" i="33"/>
  <c r="FG4" i="33"/>
  <c r="AP66" i="33"/>
  <c r="JT23" i="33"/>
  <c r="AX62" i="33"/>
  <c r="JU23" i="33"/>
  <c r="JS23" i="33"/>
  <c r="AP75" i="33"/>
  <c r="GW36" i="33"/>
  <c r="GV36" i="33"/>
  <c r="GU36" i="33"/>
  <c r="MC21" i="33"/>
  <c r="MA98" i="33" s="1"/>
  <c r="MB21" i="33"/>
  <c r="LY98" i="33" s="1"/>
  <c r="MC98" i="33" s="1"/>
  <c r="GR27" i="33"/>
  <c r="AO66" i="33"/>
  <c r="GT27" i="33"/>
  <c r="GS27" i="33"/>
  <c r="AJ18" i="33"/>
  <c r="AG95" i="33" s="1"/>
  <c r="AK18" i="33"/>
  <c r="AI95" i="33" s="1"/>
  <c r="R19" i="33"/>
  <c r="P96" i="33" s="1"/>
  <c r="Q19" i="33"/>
  <c r="N96" i="33" s="1"/>
  <c r="AN63" i="33"/>
  <c r="CR34" i="33"/>
  <c r="CO111" i="33" s="1"/>
  <c r="CQ34" i="33"/>
  <c r="CM111" i="33" s="1"/>
  <c r="AQ43" i="33"/>
  <c r="B38" i="24"/>
  <c r="B37" i="24"/>
  <c r="B41" i="24"/>
  <c r="Y5" i="24"/>
  <c r="Z5" i="24" s="1"/>
  <c r="Y10" i="24"/>
  <c r="Z10" i="24" s="1"/>
  <c r="Y7" i="24"/>
  <c r="Z7" i="24" s="1"/>
  <c r="Y9" i="24"/>
  <c r="Z9" i="24" s="1"/>
  <c r="Y3" i="24"/>
  <c r="Z3" i="24" s="1"/>
  <c r="Y4" i="24"/>
  <c r="Z4" i="24" s="1"/>
  <c r="Y11" i="24"/>
  <c r="Y8" i="24"/>
  <c r="Z8" i="24" s="1"/>
  <c r="Y6" i="24"/>
  <c r="Z6" i="24" s="1"/>
  <c r="T3" i="24"/>
  <c r="U3" i="24"/>
  <c r="II14" i="33"/>
  <c r="IG14" i="33"/>
  <c r="IH14" i="33"/>
  <c r="AT53" i="33"/>
  <c r="AZ49" i="33"/>
  <c r="KL10" i="33"/>
  <c r="KN10" i="33"/>
  <c r="KM10" i="33"/>
  <c r="BA26" i="33"/>
  <c r="AY26" i="33"/>
  <c r="AZ26" i="33"/>
  <c r="Z65" i="33"/>
  <c r="AB56" i="33"/>
  <c r="Z66" i="33"/>
  <c r="GF23" i="33"/>
  <c r="GC100" i="33" s="1"/>
  <c r="GG100" i="33" s="1"/>
  <c r="GG23" i="33"/>
  <c r="GE100" i="33" s="1"/>
  <c r="EU20" i="33"/>
  <c r="ES97" i="33" s="1"/>
  <c r="ET20" i="33"/>
  <c r="EQ97" i="33" s="1"/>
  <c r="GF28" i="33"/>
  <c r="GC105" i="33" s="1"/>
  <c r="GG28" i="33"/>
  <c r="GE105" i="33" s="1"/>
  <c r="GY8" i="33"/>
  <c r="GV85" i="33" s="1"/>
  <c r="GZ8" i="33"/>
  <c r="GX85" i="33" s="1"/>
  <c r="AW66" i="33"/>
  <c r="HK9" i="33"/>
  <c r="AQ48" i="33"/>
  <c r="HL9" i="33"/>
  <c r="HM9" i="33"/>
  <c r="GT17" i="33"/>
  <c r="GS17" i="33"/>
  <c r="GR17" i="33"/>
  <c r="AO56" i="33"/>
  <c r="BE5" i="33"/>
  <c r="BA82" i="33" s="1"/>
  <c r="BF5" i="33"/>
  <c r="BC82" i="33" s="1"/>
  <c r="FJ27" i="33"/>
  <c r="AL66" i="33"/>
  <c r="FK27" i="33"/>
  <c r="FI27" i="33"/>
  <c r="JG10" i="33"/>
  <c r="JD87" i="33" s="1"/>
  <c r="JF10" i="33"/>
  <c r="JB87" i="33" s="1"/>
  <c r="IW20" i="33"/>
  <c r="AU59" i="33"/>
  <c r="IY20" i="33"/>
  <c r="IX20" i="33"/>
  <c r="EC7" i="33"/>
  <c r="DY84" i="33" s="1"/>
  <c r="ED7" i="33"/>
  <c r="FO25" i="33"/>
  <c r="FK102" i="33" s="1"/>
  <c r="FP25" i="33"/>
  <c r="FM102" i="33" s="1"/>
  <c r="LL29" i="33"/>
  <c r="LI106" i="33" s="1"/>
  <c r="LK29" i="33"/>
  <c r="LG106" i="33" s="1"/>
  <c r="LJ106" i="33" s="1"/>
  <c r="JD13" i="33"/>
  <c r="JA90" i="33" s="1"/>
  <c r="JE13" i="33"/>
  <c r="JC90" i="33" s="1"/>
  <c r="BA51" i="33"/>
  <c r="LD12" i="33"/>
  <c r="LB12" i="33"/>
  <c r="LC12" i="33"/>
  <c r="EW6" i="33"/>
  <c r="ET83" i="33" s="1"/>
  <c r="EV6" i="33"/>
  <c r="ER83" i="33" s="1"/>
  <c r="EU83" i="33" s="1"/>
  <c r="GE38" i="33"/>
  <c r="GH4" i="33"/>
  <c r="GD81" i="33" s="1"/>
  <c r="GI4" i="33"/>
  <c r="GF81" i="33" s="1"/>
  <c r="FN20" i="33"/>
  <c r="FL97" i="33" s="1"/>
  <c r="FM20" i="33"/>
  <c r="FJ97" i="33" s="1"/>
  <c r="AK20" i="33"/>
  <c r="AI97" i="33" s="1"/>
  <c r="AJ20" i="33"/>
  <c r="AG97" i="33" s="1"/>
  <c r="U55" i="33"/>
  <c r="AB53" i="33"/>
  <c r="BR14" i="33"/>
  <c r="BS14" i="33"/>
  <c r="BT14" i="33"/>
  <c r="Y53" i="33"/>
  <c r="AU61" i="33"/>
  <c r="T30" i="24"/>
  <c r="U30" i="24"/>
  <c r="Z47" i="33"/>
  <c r="AZ8" i="33"/>
  <c r="AY8" i="33"/>
  <c r="BA8" i="33"/>
  <c r="KL13" i="33"/>
  <c r="AZ52" i="33"/>
  <c r="KM13" i="33"/>
  <c r="KN13" i="33"/>
  <c r="EA15" i="33"/>
  <c r="DX92" i="33" s="1"/>
  <c r="EB15" i="33"/>
  <c r="DZ92" i="33" s="1"/>
  <c r="BF12" i="33"/>
  <c r="BC89" i="33" s="1"/>
  <c r="BE12" i="33"/>
  <c r="BA89" i="33" s="1"/>
  <c r="AH61" i="33"/>
  <c r="DB5" i="33"/>
  <c r="DA5" i="33"/>
  <c r="AE44" i="33"/>
  <c r="DC5" i="33"/>
  <c r="AO57" i="33"/>
  <c r="AM73" i="33"/>
  <c r="FZ34" i="33"/>
  <c r="GA34" i="33"/>
  <c r="FY34" i="33"/>
  <c r="JZ31" i="33"/>
  <c r="JW108" i="33" s="1"/>
  <c r="JY31" i="33"/>
  <c r="JU108" i="33" s="1"/>
  <c r="CQ8" i="33"/>
  <c r="CM85" i="33" s="1"/>
  <c r="CR8" i="33"/>
  <c r="CO85" i="33" s="1"/>
  <c r="MD25" i="33"/>
  <c r="LZ102" i="33" s="1"/>
  <c r="ME25" i="33"/>
  <c r="MB102" i="33" s="1"/>
  <c r="BR16" i="33"/>
  <c r="BT16" i="33"/>
  <c r="BS16" i="33"/>
  <c r="AB55" i="33"/>
  <c r="AJ55" i="33"/>
  <c r="AD66" i="33"/>
  <c r="MB16" i="33"/>
  <c r="LY93" i="33" s="1"/>
  <c r="MC16" i="33"/>
  <c r="MA93" i="33" s="1"/>
  <c r="AW44" i="33"/>
  <c r="GW30" i="33"/>
  <c r="GU30" i="33"/>
  <c r="AP69" i="33"/>
  <c r="GV30" i="33"/>
  <c r="AZ60" i="33"/>
  <c r="HL29" i="33"/>
  <c r="HK29" i="33"/>
  <c r="HM29" i="33"/>
  <c r="AQ68" i="33"/>
  <c r="KM19" i="33"/>
  <c r="AZ58" i="33"/>
  <c r="KN19" i="33"/>
  <c r="KL19" i="33"/>
  <c r="JE5" i="33"/>
  <c r="JC82" i="33" s="1"/>
  <c r="JD5" i="33"/>
  <c r="JA82" i="33" s="1"/>
  <c r="V73" i="33"/>
  <c r="M34" i="33"/>
  <c r="N34" i="33"/>
  <c r="O34" i="33"/>
  <c r="AC12" i="33"/>
  <c r="AD12" i="33"/>
  <c r="W51" i="33"/>
  <c r="AE12" i="33"/>
  <c r="AA43" i="33"/>
  <c r="IE15" i="33"/>
  <c r="IF15" i="33"/>
  <c r="ID15" i="33"/>
  <c r="AS54" i="33"/>
  <c r="AL46" i="33"/>
  <c r="FJ7" i="33"/>
  <c r="FK7" i="33"/>
  <c r="FI7" i="33"/>
  <c r="BV25" i="33"/>
  <c r="BS102" i="33" s="1"/>
  <c r="BW25" i="33"/>
  <c r="BU102" i="33" s="1"/>
  <c r="AY69" i="33"/>
  <c r="KJ30" i="33"/>
  <c r="KK30" i="33"/>
  <c r="KI30" i="33"/>
  <c r="EN9" i="33"/>
  <c r="EM9" i="33"/>
  <c r="EO9" i="33"/>
  <c r="AI48" i="33"/>
  <c r="ER8" i="33"/>
  <c r="EP8" i="33"/>
  <c r="AJ47" i="33"/>
  <c r="EQ8" i="33"/>
  <c r="BA48" i="33"/>
  <c r="AK64" i="33"/>
  <c r="Y49" i="33"/>
  <c r="BW31" i="33"/>
  <c r="BU108" i="33" s="1"/>
  <c r="BV31" i="33"/>
  <c r="BS108" i="33" s="1"/>
  <c r="EM7" i="33"/>
  <c r="EN7" i="33"/>
  <c r="AI46" i="33"/>
  <c r="EO7" i="33"/>
  <c r="JY29" i="33"/>
  <c r="JU106" i="33" s="1"/>
  <c r="JZ29" i="33"/>
  <c r="JW106" i="33" s="1"/>
  <c r="GR31" i="33"/>
  <c r="AO70" i="33"/>
  <c r="GS31" i="33"/>
  <c r="GT31" i="33"/>
  <c r="AR45" i="33"/>
  <c r="HN6" i="33"/>
  <c r="HP6" i="33"/>
  <c r="HO6" i="33"/>
  <c r="JZ18" i="33"/>
  <c r="JW95" i="33" s="1"/>
  <c r="JY18" i="33"/>
  <c r="JU95" i="33" s="1"/>
  <c r="JX95" i="33" s="1"/>
  <c r="HT8" i="33"/>
  <c r="HP85" i="33" s="1"/>
  <c r="HU8" i="33"/>
  <c r="HR85" i="33" s="1"/>
  <c r="V49" i="33"/>
  <c r="MC10" i="33"/>
  <c r="MA87" i="33" s="1"/>
  <c r="MB10" i="33"/>
  <c r="LY87" i="33" s="1"/>
  <c r="KJ36" i="33"/>
  <c r="AY75" i="33"/>
  <c r="KK36" i="33"/>
  <c r="KI36" i="33"/>
  <c r="BO35" i="33"/>
  <c r="BP35" i="33"/>
  <c r="AA74" i="33"/>
  <c r="BQ35" i="33"/>
  <c r="MD31" i="33"/>
  <c r="LZ108" i="33" s="1"/>
  <c r="MC108" i="33" s="1"/>
  <c r="ME31" i="33"/>
  <c r="MB108" i="33" s="1"/>
  <c r="AV55" i="33"/>
  <c r="BV7" i="33"/>
  <c r="BS84" i="33" s="1"/>
  <c r="BW7" i="33"/>
  <c r="BU84" i="33" s="1"/>
  <c r="ET25" i="33"/>
  <c r="EQ102" i="33" s="1"/>
  <c r="EU25" i="33"/>
  <c r="ES102" i="33" s="1"/>
  <c r="BE34" i="33"/>
  <c r="BA111" i="33" s="1"/>
  <c r="BF34" i="33"/>
  <c r="BC111" i="33" s="1"/>
  <c r="JZ25" i="33"/>
  <c r="JW102" i="33" s="1"/>
  <c r="JY25" i="33"/>
  <c r="JU102" i="33" s="1"/>
  <c r="IK19" i="33"/>
  <c r="IH96" i="33" s="1"/>
  <c r="IL19" i="33"/>
  <c r="IJ96" i="33" s="1"/>
  <c r="IG23" i="33"/>
  <c r="IH23" i="33"/>
  <c r="AT62" i="33"/>
  <c r="II23" i="33"/>
  <c r="FH14" i="33"/>
  <c r="FG14" i="33"/>
  <c r="FF14" i="33"/>
  <c r="AK53" i="33"/>
  <c r="FG20" i="33"/>
  <c r="FH20" i="33"/>
  <c r="AK59" i="33"/>
  <c r="FF20" i="33"/>
  <c r="AK7" i="33"/>
  <c r="AI84" i="33" s="1"/>
  <c r="AJ7" i="33"/>
  <c r="AG84" i="33" s="1"/>
  <c r="AK84" i="33" s="1"/>
  <c r="Y61" i="33"/>
  <c r="AX22" i="33"/>
  <c r="AV22" i="33"/>
  <c r="AW22" i="33"/>
  <c r="U73" i="33"/>
  <c r="AY65" i="33"/>
  <c r="BC43" i="33"/>
  <c r="AI60" i="33"/>
  <c r="EO21" i="33"/>
  <c r="EN21" i="33"/>
  <c r="EM21" i="33"/>
  <c r="V69" i="33"/>
  <c r="AY70" i="33"/>
  <c r="AX25" i="33"/>
  <c r="AV25" i="33"/>
  <c r="AW25" i="33"/>
  <c r="Y64" i="33"/>
  <c r="GT9" i="33"/>
  <c r="GS9" i="33"/>
  <c r="GR9" i="33"/>
  <c r="AO48" i="33"/>
  <c r="Z76" i="33"/>
  <c r="AZ59" i="33"/>
  <c r="AZ73" i="33"/>
  <c r="BD72" i="33"/>
  <c r="LY33" i="33"/>
  <c r="LX33" i="33"/>
  <c r="LZ33" i="33"/>
  <c r="FM36" i="33"/>
  <c r="FJ113" i="33" s="1"/>
  <c r="FN36" i="33"/>
  <c r="FL113" i="33" s="1"/>
  <c r="FN113" i="33" s="1"/>
  <c r="AT71" i="33"/>
  <c r="II32" i="33"/>
  <c r="IG32" i="33"/>
  <c r="IH32" i="33"/>
  <c r="AH56" i="33"/>
  <c r="AF57" i="33"/>
  <c r="DD18" i="33"/>
  <c r="DF18" i="33"/>
  <c r="DE18" i="33"/>
  <c r="KP23" i="33"/>
  <c r="KM100" i="33" s="1"/>
  <c r="KQ23" i="33"/>
  <c r="KO100" i="33" s="1"/>
  <c r="AJ49" i="33"/>
  <c r="EQ10" i="33"/>
  <c r="ER10" i="33"/>
  <c r="EP10" i="33"/>
  <c r="AG48" i="33"/>
  <c r="DK30" i="33"/>
  <c r="DH107" i="33" s="1"/>
  <c r="DJ30" i="33"/>
  <c r="DF107" i="33" s="1"/>
  <c r="DI107" i="33" s="1"/>
  <c r="CQ10" i="33"/>
  <c r="CM87" i="33" s="1"/>
  <c r="CR10" i="33"/>
  <c r="CO87" i="33" s="1"/>
  <c r="FP15" i="33"/>
  <c r="FM92" i="33" s="1"/>
  <c r="FO15" i="33"/>
  <c r="FK92" i="33" s="1"/>
  <c r="AL44" i="33"/>
  <c r="FK5" i="33"/>
  <c r="FI5" i="33"/>
  <c r="FJ5" i="33"/>
  <c r="KS12" i="33"/>
  <c r="KP89" i="33" s="1"/>
  <c r="KR12" i="33"/>
  <c r="KN89" i="33" s="1"/>
  <c r="KQ89" i="33" s="1"/>
  <c r="CO22" i="33"/>
  <c r="CL99" i="33" s="1"/>
  <c r="CP22" i="33"/>
  <c r="CN99" i="33" s="1"/>
  <c r="AJ66" i="33"/>
  <c r="BX19" i="33"/>
  <c r="BT96" i="33" s="1"/>
  <c r="BY19" i="33"/>
  <c r="BV96" i="33" s="1"/>
  <c r="AO49" i="33"/>
  <c r="AF68" i="33"/>
  <c r="AM43" i="33"/>
  <c r="L12" i="33"/>
  <c r="J12" i="33"/>
  <c r="U51" i="33"/>
  <c r="K12" i="33"/>
  <c r="AV47" i="33"/>
  <c r="IZ8" i="33"/>
  <c r="JB8" i="33"/>
  <c r="JA8" i="33"/>
  <c r="X67" i="33"/>
  <c r="AK30" i="33"/>
  <c r="AI107" i="33" s="1"/>
  <c r="AJ30" i="33"/>
  <c r="AG107" i="33" s="1"/>
  <c r="AS57" i="33"/>
  <c r="AE63" i="33"/>
  <c r="ME19" i="33"/>
  <c r="MB96" i="33" s="1"/>
  <c r="MD19" i="33"/>
  <c r="LZ96" i="33" s="1"/>
  <c r="AQ74" i="33"/>
  <c r="AJ56" i="33"/>
  <c r="EQ17" i="33"/>
  <c r="ER17" i="33"/>
  <c r="EP17" i="33"/>
  <c r="V55" i="33"/>
  <c r="O16" i="33"/>
  <c r="M16" i="33"/>
  <c r="N16" i="33"/>
  <c r="T5" i="33"/>
  <c r="Q82" i="33" s="1"/>
  <c r="S5" i="33"/>
  <c r="O82" i="33" s="1"/>
  <c r="DJ20" i="33"/>
  <c r="DF97" i="33" s="1"/>
  <c r="DK20" i="33"/>
  <c r="DH97" i="33" s="1"/>
  <c r="AG59" i="33"/>
  <c r="AB54" i="33"/>
  <c r="EA6" i="33"/>
  <c r="DX83" i="33" s="1"/>
  <c r="EB6" i="33"/>
  <c r="DZ83" i="33" s="1"/>
  <c r="DE36" i="33"/>
  <c r="AF75" i="33"/>
  <c r="DF36" i="33"/>
  <c r="DD36" i="33"/>
  <c r="AF46" i="33"/>
  <c r="FF6" i="33"/>
  <c r="FG6" i="33"/>
  <c r="AK45" i="33"/>
  <c r="FH6" i="33"/>
  <c r="IK35" i="33"/>
  <c r="IH112" i="33" s="1"/>
  <c r="IL35" i="33"/>
  <c r="IJ112" i="33" s="1"/>
  <c r="X69" i="33"/>
  <c r="EQ31" i="33"/>
  <c r="EP31" i="33"/>
  <c r="ER31" i="33"/>
  <c r="AJ70" i="33"/>
  <c r="DH19" i="33"/>
  <c r="DE96" i="33" s="1"/>
  <c r="DI19" i="33"/>
  <c r="DG96" i="33" s="1"/>
  <c r="AN59" i="33"/>
  <c r="EU9" i="33"/>
  <c r="ES86" i="33" s="1"/>
  <c r="ET9" i="33"/>
  <c r="EQ86" i="33" s="1"/>
  <c r="KQ5" i="33"/>
  <c r="KO82" i="33" s="1"/>
  <c r="KP5" i="33"/>
  <c r="KM82" i="33" s="1"/>
  <c r="AW29" i="33"/>
  <c r="Y68" i="33"/>
  <c r="AX29" i="33"/>
  <c r="AV29" i="33"/>
  <c r="LY19" i="33"/>
  <c r="BD58" i="33"/>
  <c r="LZ19" i="33"/>
  <c r="LX19" i="33"/>
  <c r="EO34" i="33"/>
  <c r="AI73" i="33"/>
  <c r="EN34" i="33"/>
  <c r="EM34" i="33"/>
  <c r="S27" i="33"/>
  <c r="O104" i="33" s="1"/>
  <c r="R104" i="33" s="1"/>
  <c r="T27" i="33"/>
  <c r="Q104" i="33" s="1"/>
  <c r="BA44" i="33"/>
  <c r="GY15" i="33"/>
  <c r="GV92" i="33" s="1"/>
  <c r="GZ15" i="33"/>
  <c r="GX92" i="33" s="1"/>
  <c r="AH64" i="33"/>
  <c r="DY25" i="33"/>
  <c r="DW25" i="33"/>
  <c r="DX25" i="33"/>
  <c r="W52" i="33"/>
  <c r="AI70" i="33"/>
  <c r="AG69" i="33"/>
  <c r="IH21" i="33"/>
  <c r="II21" i="33"/>
  <c r="AT60" i="33"/>
  <c r="IG21" i="33"/>
  <c r="MD17" i="33"/>
  <c r="LZ94" i="33" s="1"/>
  <c r="ME17" i="33"/>
  <c r="MB94" i="33" s="1"/>
  <c r="CH17" i="33"/>
  <c r="CJ17" i="33"/>
  <c r="CI17" i="33"/>
  <c r="AC56" i="33"/>
  <c r="JA4" i="33"/>
  <c r="AV43" i="33"/>
  <c r="JB4" i="33"/>
  <c r="IZ4" i="33"/>
  <c r="IX18" i="33"/>
  <c r="IY18" i="33"/>
  <c r="AU57" i="33"/>
  <c r="IW18" i="33"/>
  <c r="BD9" i="33"/>
  <c r="BB86" i="33" s="1"/>
  <c r="BC9" i="33"/>
  <c r="AZ86" i="33" s="1"/>
  <c r="G37" i="24"/>
  <c r="G38" i="24"/>
  <c r="G41" i="24"/>
  <c r="AA49" i="33"/>
  <c r="ET7" i="33"/>
  <c r="EQ84" i="33" s="1"/>
  <c r="EU7" i="33"/>
  <c r="ES84" i="33" s="1"/>
  <c r="BA52" i="33"/>
  <c r="GT24" i="33"/>
  <c r="GS24" i="33"/>
  <c r="GR24" i="33"/>
  <c r="AO63" i="33"/>
  <c r="DV8" i="33"/>
  <c r="DU8" i="33"/>
  <c r="AG47" i="33"/>
  <c r="DT8" i="33"/>
  <c r="V63" i="33"/>
  <c r="AJ60" i="33"/>
  <c r="AW64" i="33"/>
  <c r="IE17" i="33"/>
  <c r="AS56" i="33"/>
  <c r="ID17" i="33"/>
  <c r="IF17" i="33"/>
  <c r="U15" i="24"/>
  <c r="T15" i="24"/>
  <c r="V15" i="24" s="1"/>
  <c r="GZ35" i="33"/>
  <c r="GX112" i="33" s="1"/>
  <c r="GY35" i="33"/>
  <c r="GV112" i="33" s="1"/>
  <c r="BC48" i="33"/>
  <c r="Z67" i="33"/>
  <c r="BA28" i="33"/>
  <c r="AY28" i="33"/>
  <c r="AZ28" i="33"/>
  <c r="ES38" i="33"/>
  <c r="EV4" i="33"/>
  <c r="EW4" i="33"/>
  <c r="ET81" i="33" s="1"/>
  <c r="AS73" i="33"/>
  <c r="LX13" i="33"/>
  <c r="LZ13" i="33"/>
  <c r="BD52" i="33"/>
  <c r="LY13" i="33"/>
  <c r="AT63" i="33"/>
  <c r="JA10" i="33"/>
  <c r="IZ10" i="33"/>
  <c r="AV49" i="33"/>
  <c r="JB10" i="33"/>
  <c r="EW31" i="33"/>
  <c r="ET108" i="33" s="1"/>
  <c r="EV31" i="33"/>
  <c r="ER108" i="33" s="1"/>
  <c r="W72" i="33"/>
  <c r="AT74" i="33"/>
  <c r="AF54" i="33"/>
  <c r="AX53" i="33"/>
  <c r="AY54" i="33"/>
  <c r="LW32" i="33"/>
  <c r="LU32" i="33"/>
  <c r="LV32" i="33"/>
  <c r="BC71" i="33"/>
  <c r="AY23" i="33"/>
  <c r="Z62" i="33"/>
  <c r="AZ23" i="33"/>
  <c r="BA23" i="33"/>
  <c r="BS6" i="33"/>
  <c r="AB45" i="33"/>
  <c r="BR6" i="33"/>
  <c r="BT6" i="33"/>
  <c r="AD18" i="33"/>
  <c r="AE18" i="33"/>
  <c r="AC18" i="33"/>
  <c r="W57" i="33"/>
  <c r="V54" i="33"/>
  <c r="CJ23" i="33"/>
  <c r="CH23" i="33"/>
  <c r="CI23" i="33"/>
  <c r="AC62" i="33"/>
  <c r="Z48" i="33"/>
  <c r="BA62" i="33"/>
  <c r="BA74" i="33"/>
  <c r="HS13" i="33"/>
  <c r="HQ90" i="33" s="1"/>
  <c r="HR13" i="33"/>
  <c r="HO90" i="33" s="1"/>
  <c r="AY67" i="33"/>
  <c r="DI21" i="33"/>
  <c r="DG98" i="33" s="1"/>
  <c r="DH21" i="33"/>
  <c r="DE98" i="33" s="1"/>
  <c r="DY11" i="33"/>
  <c r="AH50" i="33"/>
  <c r="DW11" i="33"/>
  <c r="DX11" i="33"/>
  <c r="BE20" i="33"/>
  <c r="BA97" i="33" s="1"/>
  <c r="BF20" i="33"/>
  <c r="BC97" i="33" s="1"/>
  <c r="KP14" i="33"/>
  <c r="KM91" i="33" s="1"/>
  <c r="KQ14" i="33"/>
  <c r="KO91" i="33" s="1"/>
  <c r="DI33" i="33"/>
  <c r="DG110" i="33" s="1"/>
  <c r="DH33" i="33"/>
  <c r="DE110" i="33" s="1"/>
  <c r="FP31" i="33"/>
  <c r="FM108" i="33" s="1"/>
  <c r="FO31" i="33"/>
  <c r="FK108" i="33" s="1"/>
  <c r="DH9" i="33"/>
  <c r="DE86" i="33" s="1"/>
  <c r="DI9" i="33"/>
  <c r="DG86" i="33" s="1"/>
  <c r="V58" i="33"/>
  <c r="GG8" i="33"/>
  <c r="GE85" i="33" s="1"/>
  <c r="GF8" i="33"/>
  <c r="GC85" i="33" s="1"/>
  <c r="BU38" i="33"/>
  <c r="BX4" i="33"/>
  <c r="BT81" i="33" s="1"/>
  <c r="BY4" i="33"/>
  <c r="BV81" i="33" s="1"/>
  <c r="KM31" i="33"/>
  <c r="KL31" i="33"/>
  <c r="KN31" i="33"/>
  <c r="AZ70" i="33"/>
  <c r="AK16" i="33"/>
  <c r="AI93" i="33" s="1"/>
  <c r="AJ16" i="33"/>
  <c r="AG93" i="33" s="1"/>
  <c r="AX75" i="33"/>
  <c r="JT36" i="33"/>
  <c r="JU36" i="33"/>
  <c r="JS36" i="33"/>
  <c r="BA10" i="33"/>
  <c r="AZ10" i="33"/>
  <c r="AY10" i="33"/>
  <c r="Z49" i="33"/>
  <c r="W47" i="33"/>
  <c r="LK9" i="33"/>
  <c r="LG86" i="33" s="1"/>
  <c r="LL9" i="33"/>
  <c r="LI86" i="33" s="1"/>
  <c r="CO37" i="33"/>
  <c r="CL114" i="33" s="1"/>
  <c r="CP37" i="33"/>
  <c r="CN114" i="33" s="1"/>
  <c r="EP24" i="33"/>
  <c r="ER24" i="33"/>
  <c r="EQ24" i="33"/>
  <c r="AJ63" i="33"/>
  <c r="AZ50" i="33"/>
  <c r="JB14" i="33"/>
  <c r="IZ14" i="33"/>
  <c r="JA14" i="33"/>
  <c r="AV53" i="33"/>
  <c r="V72" i="33"/>
  <c r="CK18" i="33"/>
  <c r="CL18" i="33"/>
  <c r="CM18" i="33"/>
  <c r="AD57" i="33"/>
  <c r="LL23" i="33"/>
  <c r="LI100" i="33" s="1"/>
  <c r="LK23" i="33"/>
  <c r="LG100" i="33" s="1"/>
  <c r="AL73" i="33"/>
  <c r="AD23" i="33"/>
  <c r="AE23" i="33"/>
  <c r="AC23" i="33"/>
  <c r="W62" i="33"/>
  <c r="V74" i="33"/>
  <c r="O38" i="24"/>
  <c r="O41" i="24"/>
  <c r="O37" i="24"/>
  <c r="JY11" i="33"/>
  <c r="JU88" i="33" s="1"/>
  <c r="JZ11" i="33"/>
  <c r="JW88" i="33" s="1"/>
  <c r="BA72" i="33"/>
  <c r="HU37" i="33"/>
  <c r="HR114" i="33" s="1"/>
  <c r="HT37" i="33"/>
  <c r="HP114" i="33" s="1"/>
  <c r="HS114" i="33" s="1"/>
  <c r="BC76" i="33"/>
  <c r="BE24" i="33"/>
  <c r="BA101" i="33" s="1"/>
  <c r="BF24" i="33"/>
  <c r="BC101" i="33" s="1"/>
  <c r="CM36" i="33"/>
  <c r="AD75" i="33"/>
  <c r="CL36" i="33"/>
  <c r="CK36" i="33"/>
  <c r="EN11" i="33"/>
  <c r="EO11" i="33"/>
  <c r="EM11" i="33"/>
  <c r="AI50" i="33"/>
  <c r="AU63" i="33"/>
  <c r="AK28" i="33"/>
  <c r="AI105" i="33" s="1"/>
  <c r="AJ28" i="33"/>
  <c r="AG105" i="33" s="1"/>
  <c r="AH67" i="33"/>
  <c r="JS7" i="33"/>
  <c r="JT7" i="33"/>
  <c r="JU7" i="33"/>
  <c r="AX46" i="33"/>
  <c r="AK54" i="33"/>
  <c r="BC72" i="33"/>
  <c r="BC56" i="33"/>
  <c r="DE24" i="33"/>
  <c r="DD24" i="33"/>
  <c r="DF24" i="33"/>
  <c r="AF63" i="33"/>
  <c r="KQ30" i="33"/>
  <c r="KO107" i="33" s="1"/>
  <c r="KP30" i="33"/>
  <c r="KM107" i="33" s="1"/>
  <c r="AL61" i="33"/>
  <c r="HA7" i="33"/>
  <c r="GW84" i="33" s="1"/>
  <c r="HB7" i="33"/>
  <c r="GY84" i="33" s="1"/>
  <c r="BW5" i="33"/>
  <c r="BU82" i="33" s="1"/>
  <c r="BV5" i="33"/>
  <c r="BS82" i="33" s="1"/>
  <c r="EN27" i="33"/>
  <c r="EM27" i="33"/>
  <c r="EO27" i="33"/>
  <c r="AI66" i="33"/>
  <c r="AA53" i="33"/>
  <c r="CR21" i="33"/>
  <c r="CO98" i="33" s="1"/>
  <c r="CQ21" i="33"/>
  <c r="CM98" i="33" s="1"/>
  <c r="HU30" i="33"/>
  <c r="HR107" i="33" s="1"/>
  <c r="HT30" i="33"/>
  <c r="HP107" i="33" s="1"/>
  <c r="EW35" i="33"/>
  <c r="ET112" i="33" s="1"/>
  <c r="EV35" i="33"/>
  <c r="ER112" i="33" s="1"/>
  <c r="EU112" i="33" s="1"/>
  <c r="GG14" i="33"/>
  <c r="GE91" i="33" s="1"/>
  <c r="GF14" i="33"/>
  <c r="GC91" i="33" s="1"/>
  <c r="GG91" i="33" s="1"/>
  <c r="EM12" i="33"/>
  <c r="EO12" i="33"/>
  <c r="AI51" i="33"/>
  <c r="EN12" i="33"/>
  <c r="AD61" i="33"/>
  <c r="ED25" i="33"/>
  <c r="EA102" i="33" s="1"/>
  <c r="EC25" i="33"/>
  <c r="DY102" i="33" s="1"/>
  <c r="JZ20" i="33"/>
  <c r="JW97" i="33" s="1"/>
  <c r="JY20" i="33"/>
  <c r="JU97" i="33" s="1"/>
  <c r="AH70" i="33"/>
  <c r="LZ7" i="33"/>
  <c r="LX7" i="33"/>
  <c r="BD46" i="33"/>
  <c r="LY7" i="33"/>
  <c r="AB44" i="33"/>
  <c r="CL20" i="33"/>
  <c r="AD59" i="33"/>
  <c r="CK20" i="33"/>
  <c r="CM20" i="33"/>
  <c r="AN51" i="33"/>
  <c r="JX24" i="33"/>
  <c r="JV101" i="33" s="1"/>
  <c r="JW24" i="33"/>
  <c r="JT101" i="33" s="1"/>
  <c r="CJ35" i="33"/>
  <c r="AC74" i="33"/>
  <c r="CH35" i="33"/>
  <c r="CI35" i="33"/>
  <c r="AG71" i="33"/>
  <c r="BW35" i="33"/>
  <c r="BU112" i="33" s="1"/>
  <c r="BV35" i="33"/>
  <c r="BS112" i="33" s="1"/>
  <c r="Z50" i="33"/>
  <c r="EB8" i="33"/>
  <c r="DZ85" i="33" s="1"/>
  <c r="EA8" i="33"/>
  <c r="DX85" i="33" s="1"/>
  <c r="EB85" i="33" s="1"/>
  <c r="AT43" i="33"/>
  <c r="DW14" i="33"/>
  <c r="AH53" i="33"/>
  <c r="DY14" i="33"/>
  <c r="DX14" i="33"/>
  <c r="CO35" i="33"/>
  <c r="CL112" i="33" s="1"/>
  <c r="CP112" i="33" s="1"/>
  <c r="CP35" i="33"/>
  <c r="CN112" i="33" s="1"/>
  <c r="IN9" i="33"/>
  <c r="IK86" i="33" s="1"/>
  <c r="IM9" i="33"/>
  <c r="II86" i="33" s="1"/>
  <c r="GT13" i="33"/>
  <c r="GR13" i="33"/>
  <c r="AO52" i="33"/>
  <c r="GS13" i="33"/>
  <c r="GA32" i="33"/>
  <c r="FZ32" i="33"/>
  <c r="AM71" i="33"/>
  <c r="FY32" i="33"/>
  <c r="FY12" i="33"/>
  <c r="GA12" i="33"/>
  <c r="AM51" i="33"/>
  <c r="FZ12" i="33"/>
  <c r="AM8" i="33"/>
  <c r="AJ85" i="33" s="1"/>
  <c r="AL8" i="33"/>
  <c r="GY33" i="33"/>
  <c r="GV110" i="33" s="1"/>
  <c r="GZ110" i="33" s="1"/>
  <c r="GZ33" i="33"/>
  <c r="GX110" i="33" s="1"/>
  <c r="EV8" i="33"/>
  <c r="ER85" i="33" s="1"/>
  <c r="EU85" i="33" s="1"/>
  <c r="EW8" i="33"/>
  <c r="ET85" i="33" s="1"/>
  <c r="AI54" i="33"/>
  <c r="Y60" i="33"/>
  <c r="JD21" i="33"/>
  <c r="JA98" i="33" s="1"/>
  <c r="JE98" i="33" s="1"/>
  <c r="JE21" i="33"/>
  <c r="JC98" i="33" s="1"/>
  <c r="AN67" i="33"/>
  <c r="GH29" i="33"/>
  <c r="GD106" i="33" s="1"/>
  <c r="GI29" i="33"/>
  <c r="GF106" i="33" s="1"/>
  <c r="AC72" i="33"/>
  <c r="CJ33" i="33"/>
  <c r="CH33" i="33"/>
  <c r="CI33" i="33"/>
  <c r="BB51" i="33"/>
  <c r="AD68" i="33"/>
  <c r="AI72" i="33"/>
  <c r="IZ35" i="33"/>
  <c r="JB35" i="33"/>
  <c r="JA35" i="33"/>
  <c r="AV74" i="33"/>
  <c r="AO71" i="33"/>
  <c r="GW23" i="33"/>
  <c r="GU23" i="33"/>
  <c r="AP62" i="33"/>
  <c r="GV23" i="33"/>
  <c r="AJ34" i="33"/>
  <c r="AG111" i="33" s="1"/>
  <c r="AK34" i="33"/>
  <c r="AI111" i="33" s="1"/>
  <c r="AK58" i="33"/>
  <c r="T16" i="24"/>
  <c r="V16" i="24" s="1"/>
  <c r="U16" i="24"/>
  <c r="LZ31" i="33"/>
  <c r="LY31" i="33"/>
  <c r="LX31" i="33"/>
  <c r="BD70" i="33"/>
  <c r="ME11" i="33"/>
  <c r="MB88" i="33" s="1"/>
  <c r="MD11" i="33"/>
  <c r="LZ88" i="33" s="1"/>
  <c r="MC88" i="33" s="1"/>
  <c r="CH7" i="33"/>
  <c r="CI7" i="33"/>
  <c r="CJ7" i="33"/>
  <c r="AC46" i="33"/>
  <c r="IG5" i="33"/>
  <c r="II5" i="33"/>
  <c r="AT44" i="33"/>
  <c r="IH5" i="33"/>
  <c r="GY27" i="33"/>
  <c r="GV104" i="33" s="1"/>
  <c r="GZ104" i="33" s="1"/>
  <c r="GZ27" i="33"/>
  <c r="GX104" i="33" s="1"/>
  <c r="EN5" i="33"/>
  <c r="EO5" i="33"/>
  <c r="AI44" i="33"/>
  <c r="EM5" i="33"/>
  <c r="FF8" i="33"/>
  <c r="AK47" i="33"/>
  <c r="FH8" i="33"/>
  <c r="FG8" i="33"/>
  <c r="M13" i="33"/>
  <c r="V52" i="33"/>
  <c r="N13" i="33"/>
  <c r="O13" i="33"/>
  <c r="KK20" i="33"/>
  <c r="AY59" i="33"/>
  <c r="KI20" i="33"/>
  <c r="KJ20" i="33"/>
  <c r="AD71" i="33"/>
  <c r="CK32" i="33"/>
  <c r="CL32" i="33"/>
  <c r="CM32" i="33"/>
  <c r="AV54" i="33"/>
  <c r="JA15" i="33"/>
  <c r="IZ15" i="33"/>
  <c r="JB15" i="33"/>
  <c r="EA24" i="33"/>
  <c r="DX101" i="33" s="1"/>
  <c r="EB101" i="33" s="1"/>
  <c r="EB24" i="33"/>
  <c r="DZ101" i="33" s="1"/>
  <c r="BB53" i="33"/>
  <c r="AF66" i="33"/>
  <c r="KR31" i="33"/>
  <c r="KN108" i="33" s="1"/>
  <c r="KS31" i="33"/>
  <c r="KP108" i="33" s="1"/>
  <c r="CO23" i="33"/>
  <c r="CL100" i="33" s="1"/>
  <c r="CP100" i="33" s="1"/>
  <c r="CP23" i="33"/>
  <c r="CN100" i="33" s="1"/>
  <c r="T5" i="24"/>
  <c r="U5" i="24"/>
  <c r="AV75" i="33"/>
  <c r="Y62" i="33"/>
  <c r="CQ14" i="33"/>
  <c r="CM91" i="33" s="1"/>
  <c r="CR14" i="33"/>
  <c r="CO91" i="33" s="1"/>
  <c r="CP91" i="33" s="1"/>
  <c r="DE6" i="33"/>
  <c r="DD6" i="33"/>
  <c r="AF45" i="33"/>
  <c r="AF77" i="33" s="1"/>
  <c r="DF6" i="33"/>
  <c r="GW18" i="33"/>
  <c r="GV18" i="33"/>
  <c r="AP57" i="33"/>
  <c r="GU18" i="33"/>
  <c r="EA29" i="33"/>
  <c r="DX106" i="33" s="1"/>
  <c r="EB29" i="33"/>
  <c r="DZ106" i="33" s="1"/>
  <c r="FI21" i="33"/>
  <c r="AL60" i="33"/>
  <c r="FJ21" i="33"/>
  <c r="FK21" i="33"/>
  <c r="BA64" i="33"/>
  <c r="EC11" i="33"/>
  <c r="DY88" i="33" s="1"/>
  <c r="ED11" i="33"/>
  <c r="EA88" i="33" s="1"/>
  <c r="EB88" i="33" s="1"/>
  <c r="FN34" i="33"/>
  <c r="FL111" i="33" s="1"/>
  <c r="FM34" i="33"/>
  <c r="FJ111" i="33" s="1"/>
  <c r="U35" i="24"/>
  <c r="T35" i="24"/>
  <c r="J37" i="33"/>
  <c r="K37" i="33"/>
  <c r="U76" i="33"/>
  <c r="L37" i="33"/>
  <c r="DT26" i="33"/>
  <c r="DU26" i="33"/>
  <c r="AG65" i="33"/>
  <c r="DV26" i="33"/>
  <c r="AK60" i="33"/>
  <c r="AC57" i="33"/>
  <c r="AG57" i="33"/>
  <c r="K10" i="33"/>
  <c r="L10" i="33"/>
  <c r="J10" i="33"/>
  <c r="U49" i="33"/>
  <c r="FN24" i="33"/>
  <c r="FL101" i="33" s="1"/>
  <c r="FM24" i="33"/>
  <c r="FJ101" i="33" s="1"/>
  <c r="EC23" i="33"/>
  <c r="DY100" i="33" s="1"/>
  <c r="ED23" i="33"/>
  <c r="EA100" i="33" s="1"/>
  <c r="FG24" i="33"/>
  <c r="FH24" i="33"/>
  <c r="AK63" i="33"/>
  <c r="FF24" i="33"/>
  <c r="KS35" i="33"/>
  <c r="KP112" i="33" s="1"/>
  <c r="KR35" i="33"/>
  <c r="KN112" i="33" s="1"/>
  <c r="LD22" i="33"/>
  <c r="BA61" i="33"/>
  <c r="LB22" i="33"/>
  <c r="LC22" i="33"/>
  <c r="BX34" i="33"/>
  <c r="BT111" i="33" s="1"/>
  <c r="BY34" i="33"/>
  <c r="BV111" i="33" s="1"/>
  <c r="DY34" i="33"/>
  <c r="DW34" i="33"/>
  <c r="AH73" i="33"/>
  <c r="DX34" i="33"/>
  <c r="V59" i="33"/>
  <c r="N20" i="33"/>
  <c r="O20" i="33"/>
  <c r="M20" i="33"/>
  <c r="CQ18" i="33"/>
  <c r="CM95" i="33" s="1"/>
  <c r="CP95" i="33" s="1"/>
  <c r="CR18" i="33"/>
  <c r="CO95" i="33" s="1"/>
  <c r="AA76" i="33"/>
  <c r="EB17" i="33"/>
  <c r="DZ94" i="33" s="1"/>
  <c r="EA17" i="33"/>
  <c r="DX94" i="33" s="1"/>
  <c r="JG28" i="33"/>
  <c r="JD105" i="33" s="1"/>
  <c r="JF28" i="33"/>
  <c r="JB105" i="33" s="1"/>
  <c r="JE105" i="33" s="1"/>
  <c r="MC6" i="33"/>
  <c r="MA83" i="33" s="1"/>
  <c r="MB6" i="33"/>
  <c r="LY83" i="33" s="1"/>
  <c r="MC83" i="33" s="1"/>
  <c r="AA45" i="33"/>
  <c r="AF76" i="33"/>
  <c r="AI58" i="33"/>
  <c r="CO31" i="33"/>
  <c r="CL108" i="33" s="1"/>
  <c r="CP31" i="33"/>
  <c r="CN108" i="33" s="1"/>
  <c r="AJ72" i="33"/>
  <c r="EQ33" i="33"/>
  <c r="ER33" i="33"/>
  <c r="EP33" i="33"/>
  <c r="AC49" i="33"/>
  <c r="FP29" i="33"/>
  <c r="FM106" i="33" s="1"/>
  <c r="FO29" i="33"/>
  <c r="FK106" i="33" s="1"/>
  <c r="AI56" i="33"/>
  <c r="FK23" i="33"/>
  <c r="AL62" i="33"/>
  <c r="FI23" i="33"/>
  <c r="FJ23" i="33"/>
  <c r="AE75" i="33"/>
  <c r="AH44" i="33"/>
  <c r="DX5" i="33"/>
  <c r="DY5" i="33"/>
  <c r="DW5" i="33"/>
  <c r="DW38" i="33" s="1"/>
  <c r="DW39" i="33" s="1"/>
  <c r="AM66" i="33"/>
  <c r="AU72" i="33"/>
  <c r="IN18" i="33"/>
  <c r="IK95" i="33" s="1"/>
  <c r="IL95" i="33" s="1"/>
  <c r="IM18" i="33"/>
  <c r="II95" i="33" s="1"/>
  <c r="FI31" i="33"/>
  <c r="FK31" i="33"/>
  <c r="FJ31" i="33"/>
  <c r="AL70" i="33"/>
  <c r="AO51" i="33"/>
  <c r="AK10" i="33"/>
  <c r="AI87" i="33" s="1"/>
  <c r="AJ10" i="33"/>
  <c r="AG87" i="33" s="1"/>
  <c r="BV13" i="33"/>
  <c r="BS90" i="33" s="1"/>
  <c r="BW13" i="33"/>
  <c r="BU90" i="33" s="1"/>
  <c r="BV23" i="33"/>
  <c r="BS100" i="33" s="1"/>
  <c r="BW100" i="33" s="1"/>
  <c r="BW23" i="33"/>
  <c r="BU100" i="33" s="1"/>
  <c r="Q22" i="33"/>
  <c r="N99" i="33" s="1"/>
  <c r="R99" i="33" s="1"/>
  <c r="R22" i="33"/>
  <c r="P99" i="33" s="1"/>
  <c r="R17" i="33"/>
  <c r="P94" i="33" s="1"/>
  <c r="Q17" i="33"/>
  <c r="N94" i="33" s="1"/>
  <c r="AQ71" i="33"/>
  <c r="V76" i="33"/>
  <c r="DJ36" i="33"/>
  <c r="DF113" i="33" s="1"/>
  <c r="DK36" i="33"/>
  <c r="DH113" i="33" s="1"/>
  <c r="CJ11" i="33"/>
  <c r="CI11" i="33"/>
  <c r="CH11" i="33"/>
  <c r="AC50" i="33"/>
  <c r="BW17" i="33"/>
  <c r="BU94" i="33" s="1"/>
  <c r="BV17" i="33"/>
  <c r="BS94" i="33" s="1"/>
  <c r="AL22" i="33"/>
  <c r="AH99" i="33" s="1"/>
  <c r="AM22" i="33"/>
  <c r="AJ99" i="33" s="1"/>
  <c r="FZ8" i="33"/>
  <c r="AM47" i="33"/>
  <c r="FY8" i="33"/>
  <c r="GA8" i="33"/>
  <c r="LB30" i="33"/>
  <c r="LD30" i="33"/>
  <c r="LC30" i="33"/>
  <c r="BA69" i="33"/>
  <c r="AS51" i="33"/>
  <c r="ID12" i="33"/>
  <c r="IE12" i="33"/>
  <c r="IF12" i="33"/>
  <c r="ID31" i="33"/>
  <c r="IF31" i="33"/>
  <c r="AS70" i="33"/>
  <c r="IE31" i="33"/>
  <c r="HS15" i="33"/>
  <c r="HQ92" i="33" s="1"/>
  <c r="HR15" i="33"/>
  <c r="HO92" i="33" s="1"/>
  <c r="AX69" i="33"/>
  <c r="JD27" i="33"/>
  <c r="JA104" i="33" s="1"/>
  <c r="JE27" i="33"/>
  <c r="JC104" i="33" s="1"/>
  <c r="DZ38" i="33"/>
  <c r="EA4" i="33"/>
  <c r="DX81" i="33" s="1"/>
  <c r="EB4" i="33"/>
  <c r="DZ81" i="33" s="1"/>
  <c r="HR29" i="33"/>
  <c r="HO106" i="33" s="1"/>
  <c r="HS106" i="33" s="1"/>
  <c r="HS29" i="33"/>
  <c r="HQ106" i="33" s="1"/>
  <c r="T20" i="24"/>
  <c r="U20" i="24"/>
  <c r="AG46" i="33"/>
  <c r="LE25" i="33"/>
  <c r="BB64" i="33"/>
  <c r="LF25" i="33"/>
  <c r="LG25" i="33"/>
  <c r="AJ45" i="33"/>
  <c r="ER6" i="33"/>
  <c r="EP6" i="33"/>
  <c r="EQ6" i="33"/>
  <c r="BW21" i="33"/>
  <c r="BU98" i="33" s="1"/>
  <c r="BV21" i="33"/>
  <c r="BS98" i="33" s="1"/>
  <c r="BW98" i="33" s="1"/>
  <c r="Y71" i="33"/>
  <c r="KR15" i="33"/>
  <c r="KN92" i="33" s="1"/>
  <c r="KS15" i="33"/>
  <c r="KP92" i="33" s="1"/>
  <c r="IG30" i="33"/>
  <c r="II30" i="33"/>
  <c r="IH30" i="33"/>
  <c r="AT69" i="33"/>
  <c r="AA65" i="33"/>
  <c r="LC18" i="33"/>
  <c r="BA57" i="33"/>
  <c r="LD18" i="33"/>
  <c r="LB18" i="33"/>
  <c r="KR6" i="33"/>
  <c r="KN83" i="33" s="1"/>
  <c r="KQ83" i="33" s="1"/>
  <c r="KS6" i="33"/>
  <c r="KP83" i="33" s="1"/>
  <c r="AS48" i="33"/>
  <c r="AD36" i="33"/>
  <c r="W75" i="33"/>
  <c r="AE36" i="33"/>
  <c r="AC36" i="33"/>
  <c r="AK32" i="33"/>
  <c r="AI109" i="33" s="1"/>
  <c r="AJ32" i="33"/>
  <c r="AG109" i="33" s="1"/>
  <c r="AR66" i="33"/>
  <c r="IW11" i="33"/>
  <c r="IX11" i="33"/>
  <c r="IY11" i="33"/>
  <c r="AU50" i="33"/>
  <c r="JV38" i="33"/>
  <c r="JX4" i="33"/>
  <c r="JV81" i="33" s="1"/>
  <c r="JW4" i="33"/>
  <c r="JT81" i="33" s="1"/>
  <c r="HR16" i="33"/>
  <c r="HO93" i="33" s="1"/>
  <c r="HS16" i="33"/>
  <c r="HQ93" i="33" s="1"/>
  <c r="HS93" i="33" s="1"/>
  <c r="M9" i="33"/>
  <c r="N9" i="33"/>
  <c r="V48" i="33"/>
  <c r="O9" i="33"/>
  <c r="W58" i="33"/>
  <c r="U46" i="33"/>
  <c r="AM9" i="33"/>
  <c r="AL9" i="33"/>
  <c r="AH86" i="33" s="1"/>
  <c r="AG55" i="33"/>
  <c r="AM37" i="33"/>
  <c r="AJ114" i="33" s="1"/>
  <c r="AL37" i="33"/>
  <c r="AH114" i="33" s="1"/>
  <c r="AC71" i="33"/>
  <c r="AN46" i="33"/>
  <c r="GB7" i="33"/>
  <c r="GC7" i="33"/>
  <c r="GD7" i="33"/>
  <c r="AA64" i="33"/>
  <c r="BQ25" i="33"/>
  <c r="BP25" i="33"/>
  <c r="BO25" i="33"/>
  <c r="BC74" i="33"/>
  <c r="HB36" i="33"/>
  <c r="GY113" i="33" s="1"/>
  <c r="HA36" i="33"/>
  <c r="GW113" i="33" s="1"/>
  <c r="LF29" i="33"/>
  <c r="LE29" i="33"/>
  <c r="BB68" i="33"/>
  <c r="LG29" i="33"/>
  <c r="AM46" i="33"/>
  <c r="DJ22" i="33"/>
  <c r="DF99" i="33" s="1"/>
  <c r="DK22" i="33"/>
  <c r="DH99" i="33" s="1"/>
  <c r="GG12" i="33"/>
  <c r="GE89" i="33" s="1"/>
  <c r="GF12" i="33"/>
  <c r="GC89" i="33" s="1"/>
  <c r="FF28" i="33"/>
  <c r="FG28" i="33"/>
  <c r="AK67" i="33"/>
  <c r="FH28" i="33"/>
  <c r="EV19" i="33"/>
  <c r="ER96" i="33" s="1"/>
  <c r="EW19" i="33"/>
  <c r="ET96" i="33" s="1"/>
  <c r="AF44" i="33"/>
  <c r="LF9" i="33"/>
  <c r="LG9" i="33"/>
  <c r="LE9" i="33"/>
  <c r="BB48" i="33"/>
  <c r="FO9" i="33"/>
  <c r="FK86" i="33" s="1"/>
  <c r="FP9" i="33"/>
  <c r="FM86" i="33" s="1"/>
  <c r="AV33" i="33"/>
  <c r="Y72" i="33"/>
  <c r="AW33" i="33"/>
  <c r="AX33" i="33"/>
  <c r="S31" i="33"/>
  <c r="O108" i="33" s="1"/>
  <c r="T31" i="33"/>
  <c r="Q108" i="33" s="1"/>
  <c r="R108" i="33" s="1"/>
  <c r="DW30" i="33"/>
  <c r="AH69" i="33"/>
  <c r="DY30" i="33"/>
  <c r="DX30" i="33"/>
  <c r="GY17" i="33"/>
  <c r="GV94" i="33" s="1"/>
  <c r="GZ17" i="33"/>
  <c r="GX94" i="33" s="1"/>
  <c r="FO23" i="33"/>
  <c r="FK100" i="33" s="1"/>
  <c r="FP23" i="33"/>
  <c r="FM100" i="33" s="1"/>
  <c r="FN100" i="33" s="1"/>
  <c r="GR8" i="33"/>
  <c r="GS8" i="33"/>
  <c r="AO47" i="33"/>
  <c r="GT8" i="33"/>
  <c r="EP28" i="33"/>
  <c r="ER28" i="33"/>
  <c r="AJ67" i="33"/>
  <c r="EQ28" i="33"/>
  <c r="FO27" i="33"/>
  <c r="FK104" i="33" s="1"/>
  <c r="FP27" i="33"/>
  <c r="FM104" i="33" s="1"/>
  <c r="LI16" i="33"/>
  <c r="LF93" i="33" s="1"/>
  <c r="LJ93" i="33" s="1"/>
  <c r="LJ16" i="33"/>
  <c r="LH93" i="33" s="1"/>
  <c r="GC29" i="33"/>
  <c r="GB29" i="33"/>
  <c r="AN68" i="33"/>
  <c r="GD29" i="33"/>
  <c r="II18" i="33"/>
  <c r="IH18" i="33"/>
  <c r="IG18" i="33"/>
  <c r="AT57" i="33"/>
  <c r="AX49" i="33"/>
  <c r="DH23" i="33"/>
  <c r="DE100" i="33" s="1"/>
  <c r="DI23" i="33"/>
  <c r="DG100" i="33" s="1"/>
  <c r="JQ10" i="33"/>
  <c r="AW49" i="33"/>
  <c r="JR10" i="33"/>
  <c r="JP10" i="33"/>
  <c r="M7" i="33"/>
  <c r="V46" i="33"/>
  <c r="N7" i="33"/>
  <c r="O7" i="33"/>
  <c r="JX19" i="33"/>
  <c r="JV96" i="33" s="1"/>
  <c r="JW19" i="33"/>
  <c r="JT96" i="33" s="1"/>
  <c r="Z70" i="33"/>
  <c r="AB70" i="33"/>
  <c r="AC59" i="33"/>
  <c r="CM5" i="33"/>
  <c r="CK5" i="33"/>
  <c r="CL5" i="33"/>
  <c r="AD44" i="33"/>
  <c r="CO15" i="33"/>
  <c r="CL92" i="33" s="1"/>
  <c r="CP15" i="33"/>
  <c r="CN92" i="33" s="1"/>
  <c r="CP92" i="33" s="1"/>
  <c r="KP25" i="33"/>
  <c r="KM102" i="33" s="1"/>
  <c r="KQ25" i="33"/>
  <c r="KO102" i="33" s="1"/>
  <c r="LL25" i="33"/>
  <c r="LI102" i="33" s="1"/>
  <c r="LK25" i="33"/>
  <c r="LG102" i="33" s="1"/>
  <c r="LJ102" i="33" s="1"/>
  <c r="BD60" i="33"/>
  <c r="KQ9" i="33"/>
  <c r="KO86" i="33" s="1"/>
  <c r="KP9" i="33"/>
  <c r="KM86" i="33" s="1"/>
  <c r="JS21" i="33"/>
  <c r="JU21" i="33"/>
  <c r="JT21" i="33"/>
  <c r="AX60" i="33"/>
  <c r="AO65" i="33"/>
  <c r="Z74" i="33"/>
  <c r="BA76" i="33"/>
  <c r="LB37" i="33"/>
  <c r="LC37" i="33"/>
  <c r="LD37" i="33"/>
  <c r="AU67" i="33"/>
  <c r="DU31" i="33"/>
  <c r="DV31" i="33"/>
  <c r="DT31" i="33"/>
  <c r="AG70" i="33"/>
  <c r="LL31" i="33"/>
  <c r="LI108" i="33" s="1"/>
  <c r="LK31" i="33"/>
  <c r="LG108" i="33" s="1"/>
  <c r="LK35" i="33"/>
  <c r="LG112" i="33" s="1"/>
  <c r="LJ112" i="33" s="1"/>
  <c r="LL35" i="33"/>
  <c r="LI112" i="33" s="1"/>
  <c r="FO13" i="33"/>
  <c r="FK90" i="33" s="1"/>
  <c r="FP13" i="33"/>
  <c r="FM90" i="33" s="1"/>
  <c r="W76" i="33"/>
  <c r="AZ57" i="33"/>
  <c r="DX12" i="33"/>
  <c r="DY12" i="33"/>
  <c r="DW12" i="33"/>
  <c r="AH51" i="33"/>
  <c r="X70" i="33"/>
  <c r="AH31" i="33"/>
  <c r="AF31" i="33"/>
  <c r="AG31" i="33"/>
  <c r="LW20" i="33"/>
  <c r="LU20" i="33"/>
  <c r="BC59" i="33"/>
  <c r="LV20" i="33"/>
  <c r="W74" i="33"/>
  <c r="AT47" i="33"/>
  <c r="AC64" i="33"/>
  <c r="CI25" i="33"/>
  <c r="CJ25" i="33"/>
  <c r="CH25" i="33"/>
  <c r="BX30" i="33"/>
  <c r="BT107" i="33" s="1"/>
  <c r="BY30" i="33"/>
  <c r="BV107" i="33" s="1"/>
  <c r="JD20" i="33"/>
  <c r="JA97" i="33" s="1"/>
  <c r="JE20" i="33"/>
  <c r="JC97" i="33" s="1"/>
  <c r="KR19" i="33"/>
  <c r="KN96" i="33" s="1"/>
  <c r="KS19" i="33"/>
  <c r="KP96" i="33" s="1"/>
  <c r="IM27" i="33"/>
  <c r="II104" i="33" s="1"/>
  <c r="IN27" i="33"/>
  <c r="IK104" i="33" s="1"/>
  <c r="CM12" i="33"/>
  <c r="CK12" i="33"/>
  <c r="CL12" i="33"/>
  <c r="AD51" i="33"/>
  <c r="HT17" i="33"/>
  <c r="HP94" i="33" s="1"/>
  <c r="HU17" i="33"/>
  <c r="HR94" i="33" s="1"/>
  <c r="GI13" i="33"/>
  <c r="GF90" i="33" s="1"/>
  <c r="GH13" i="33"/>
  <c r="GD90" i="33" s="1"/>
  <c r="AM50" i="33"/>
  <c r="U9" i="24"/>
  <c r="T9" i="24"/>
  <c r="V9" i="24" s="1"/>
  <c r="DJ4" i="33"/>
  <c r="DF81" i="33" s="1"/>
  <c r="DK4" i="33"/>
  <c r="DG38" i="33"/>
  <c r="AJ68" i="33"/>
  <c r="ER29" i="33"/>
  <c r="EP29" i="33"/>
  <c r="EQ29" i="33"/>
  <c r="II11" i="33"/>
  <c r="IG11" i="33"/>
  <c r="IH11" i="33"/>
  <c r="AT50" i="33"/>
  <c r="AK62" i="33"/>
  <c r="CK28" i="33"/>
  <c r="CL28" i="33"/>
  <c r="CM28" i="33"/>
  <c r="AD67" i="33"/>
  <c r="AR50" i="33"/>
  <c r="JZ9" i="33"/>
  <c r="JW86" i="33" s="1"/>
  <c r="JY9" i="33"/>
  <c r="JU86" i="33" s="1"/>
  <c r="AD56" i="33"/>
  <c r="L22" i="33"/>
  <c r="K22" i="33"/>
  <c r="J22" i="33"/>
  <c r="U61" i="33"/>
  <c r="BQ9" i="33"/>
  <c r="BP9" i="33"/>
  <c r="BO9" i="33"/>
  <c r="AA48" i="33"/>
  <c r="DK24" i="33"/>
  <c r="DH101" i="33" s="1"/>
  <c r="DJ24" i="33"/>
  <c r="DF101" i="33" s="1"/>
  <c r="DI101" i="33" s="1"/>
  <c r="AF69" i="33"/>
  <c r="DF30" i="33"/>
  <c r="DE30" i="33"/>
  <c r="DD30" i="33"/>
  <c r="LJ8" i="33"/>
  <c r="LH85" i="33" s="1"/>
  <c r="LH115" i="33" s="1"/>
  <c r="LI8" i="33"/>
  <c r="LF85" i="33" s="1"/>
  <c r="AF33" i="33"/>
  <c r="X72" i="33"/>
  <c r="AH33" i="33"/>
  <c r="AG33" i="33"/>
  <c r="DA27" i="33"/>
  <c r="AE66" i="33"/>
  <c r="DC27" i="33"/>
  <c r="DB27" i="33"/>
  <c r="AR54" i="33"/>
  <c r="W63" i="33"/>
  <c r="KQ20" i="33"/>
  <c r="KO97" i="33" s="1"/>
  <c r="KP20" i="33"/>
  <c r="KM97" i="33" s="1"/>
  <c r="KQ97" i="33" s="1"/>
  <c r="AH66" i="33"/>
  <c r="DW27" i="33"/>
  <c r="DX27" i="33"/>
  <c r="DY27" i="33"/>
  <c r="JU29" i="33"/>
  <c r="JS29" i="33"/>
  <c r="JT29" i="33"/>
  <c r="AX68" i="33"/>
  <c r="JZ7" i="33"/>
  <c r="JW84" i="33" s="1"/>
  <c r="JY7" i="33"/>
  <c r="JU84" i="33" s="1"/>
  <c r="R24" i="33"/>
  <c r="P101" i="33" s="1"/>
  <c r="Q24" i="33"/>
  <c r="N101" i="33" s="1"/>
  <c r="AF72" i="33"/>
  <c r="AM57" i="33"/>
  <c r="FY18" i="33"/>
  <c r="FZ18" i="33"/>
  <c r="GA18" i="33"/>
  <c r="V67" i="33"/>
  <c r="BA68" i="33"/>
  <c r="AU74" i="33"/>
  <c r="EB26" i="33"/>
  <c r="DZ103" i="33" s="1"/>
  <c r="EA26" i="33"/>
  <c r="DX103" i="33" s="1"/>
  <c r="EB103" i="33" s="1"/>
  <c r="AF74" i="33"/>
  <c r="AP67" i="33"/>
  <c r="GW28" i="33"/>
  <c r="GV28" i="33"/>
  <c r="GU28" i="33"/>
  <c r="DI17" i="33"/>
  <c r="DG94" i="33" s="1"/>
  <c r="DH17" i="33"/>
  <c r="DE94" i="33" s="1"/>
  <c r="DI94" i="33" s="1"/>
  <c r="AI76" i="33"/>
  <c r="AL47" i="33"/>
  <c r="HN24" i="33"/>
  <c r="AR63" i="33"/>
  <c r="HP24" i="33"/>
  <c r="HO24" i="33"/>
  <c r="AQ47" i="33"/>
  <c r="MD33" i="33"/>
  <c r="LZ110" i="33" s="1"/>
  <c r="MC110" i="33" s="1"/>
  <c r="ME33" i="33"/>
  <c r="MB110" i="33" s="1"/>
  <c r="KS37" i="33"/>
  <c r="KP114" i="33" s="1"/>
  <c r="KR37" i="33"/>
  <c r="KN114" i="33" s="1"/>
  <c r="BE36" i="33"/>
  <c r="BA113" i="33" s="1"/>
  <c r="BF36" i="33"/>
  <c r="BC113" i="33" s="1"/>
  <c r="IY16" i="33"/>
  <c r="AU55" i="33"/>
  <c r="IW16" i="33"/>
  <c r="IX16" i="33"/>
  <c r="R38" i="24"/>
  <c r="R37" i="24"/>
  <c r="R41" i="24"/>
  <c r="EV26" i="33"/>
  <c r="ER103" i="33" s="1"/>
  <c r="EW26" i="33"/>
  <c r="ET103" i="33" s="1"/>
  <c r="EU103" i="33" s="1"/>
  <c r="JS27" i="33"/>
  <c r="JU27" i="33"/>
  <c r="JT27" i="33"/>
  <c r="AX66" i="33"/>
  <c r="BA45" i="33"/>
  <c r="LD6" i="33"/>
  <c r="LB6" i="33"/>
  <c r="LC6" i="33"/>
  <c r="AX63" i="33"/>
  <c r="AJ46" i="33"/>
  <c r="BV36" i="33"/>
  <c r="BS113" i="33" s="1"/>
  <c r="BW113" i="33" s="1"/>
  <c r="BW36" i="33"/>
  <c r="BU113" i="33" s="1"/>
  <c r="BC70" i="33"/>
  <c r="BB58" i="33"/>
  <c r="DF16" i="33"/>
  <c r="DE16" i="33"/>
  <c r="AF55" i="33"/>
  <c r="DD16" i="33"/>
  <c r="JP28" i="33"/>
  <c r="JQ28" i="33"/>
  <c r="AW67" i="33"/>
  <c r="JR28" i="33"/>
  <c r="JW17" i="33"/>
  <c r="JT94" i="33" s="1"/>
  <c r="JX17" i="33"/>
  <c r="JV94" i="33" s="1"/>
  <c r="DA35" i="33"/>
  <c r="DB35" i="33"/>
  <c r="DC35" i="33"/>
  <c r="AE74" i="33"/>
  <c r="AV7" i="33"/>
  <c r="AX7" i="33"/>
  <c r="AW7" i="33"/>
  <c r="Y46" i="33"/>
  <c r="AB68" i="33"/>
  <c r="X71" i="33"/>
  <c r="AA71" i="33"/>
  <c r="BW15" i="33"/>
  <c r="BU92" i="33" s="1"/>
  <c r="BV15" i="33"/>
  <c r="BS92" i="33" s="1"/>
  <c r="BW92" i="33" s="1"/>
  <c r="GF10" i="33"/>
  <c r="GC87" i="33" s="1"/>
  <c r="GG87" i="33" s="1"/>
  <c r="GG10" i="33"/>
  <c r="GE87" i="33" s="1"/>
  <c r="EB22" i="33"/>
  <c r="DZ99" i="33" s="1"/>
  <c r="EA22" i="33"/>
  <c r="DX99" i="33" s="1"/>
  <c r="JD18" i="33"/>
  <c r="JA95" i="33" s="1"/>
  <c r="JE95" i="33" s="1"/>
  <c r="JE18" i="33"/>
  <c r="JC95" i="33" s="1"/>
  <c r="T34" i="24"/>
  <c r="U34" i="24"/>
  <c r="HK11" i="33"/>
  <c r="HL11" i="33"/>
  <c r="HM11" i="33"/>
  <c r="AQ50" i="33"/>
  <c r="AV52" i="33"/>
  <c r="X60" i="33"/>
  <c r="FZ24" i="33"/>
  <c r="FY24" i="33"/>
  <c r="AM63" i="33"/>
  <c r="GA24" i="33"/>
  <c r="AL69" i="33"/>
  <c r="AX44" i="33"/>
  <c r="JT5" i="33"/>
  <c r="JU5" i="33"/>
  <c r="JS5" i="33"/>
  <c r="GZ6" i="33"/>
  <c r="GX83" i="33" s="1"/>
  <c r="GY6" i="33"/>
  <c r="GV83" i="33" s="1"/>
  <c r="GI27" i="33"/>
  <c r="GF104" i="33" s="1"/>
  <c r="GH27" i="33"/>
  <c r="GD104" i="33" s="1"/>
  <c r="GG104" i="33" s="1"/>
  <c r="JB30" i="33"/>
  <c r="JA30" i="33"/>
  <c r="AV69" i="33"/>
  <c r="IZ30" i="33"/>
  <c r="T10" i="24"/>
  <c r="U10" i="24"/>
  <c r="HT6" i="33"/>
  <c r="HP83" i="33" s="1"/>
  <c r="HU6" i="33"/>
  <c r="HR83" i="33" s="1"/>
  <c r="HS83" i="33" s="1"/>
  <c r="LK27" i="33"/>
  <c r="LG104" i="33" s="1"/>
  <c r="LL27" i="33"/>
  <c r="LI104" i="33" s="1"/>
  <c r="AK14" i="33"/>
  <c r="AI91" i="33" s="1"/>
  <c r="AK91" i="33" s="1"/>
  <c r="AJ14" i="33"/>
  <c r="AG91" i="33" s="1"/>
  <c r="LZ29" i="33"/>
  <c r="BD68" i="33"/>
  <c r="LY29" i="33"/>
  <c r="LX29" i="33"/>
  <c r="BP5" i="33"/>
  <c r="AA44" i="33"/>
  <c r="BQ5" i="33"/>
  <c r="BO5" i="33"/>
  <c r="GS29" i="33"/>
  <c r="GR29" i="33"/>
  <c r="GT29" i="33"/>
  <c r="AO68" i="33"/>
  <c r="AC61" i="33"/>
  <c r="CI22" i="33"/>
  <c r="CH22" i="33"/>
  <c r="CJ22" i="33"/>
  <c r="JU15" i="33"/>
  <c r="JT15" i="33"/>
  <c r="JS15" i="33"/>
  <c r="AX54" i="33"/>
  <c r="GB17" i="33"/>
  <c r="AN56" i="33"/>
  <c r="GD17" i="33"/>
  <c r="GC17" i="33"/>
  <c r="Z57" i="33"/>
  <c r="AY18" i="33"/>
  <c r="BA18" i="33"/>
  <c r="AZ18" i="33"/>
  <c r="GT35" i="33"/>
  <c r="GS35" i="33"/>
  <c r="GR35" i="33"/>
  <c r="AO74" i="33"/>
  <c r="LC34" i="33"/>
  <c r="LD34" i="33"/>
  <c r="LB34" i="33"/>
  <c r="BA73" i="33"/>
  <c r="HB14" i="33"/>
  <c r="GY91" i="33" s="1"/>
  <c r="HA14" i="33"/>
  <c r="GW91" i="33" s="1"/>
  <c r="BY24" i="33"/>
  <c r="BV101" i="33" s="1"/>
  <c r="BX24" i="33"/>
  <c r="GH25" i="33"/>
  <c r="GD102" i="33" s="1"/>
  <c r="GI25" i="33"/>
  <c r="GF102" i="33" s="1"/>
  <c r="CO13" i="33"/>
  <c r="CL90" i="33" s="1"/>
  <c r="CP13" i="33"/>
  <c r="CN90" i="33" s="1"/>
  <c r="CP90" i="33" s="1"/>
  <c r="CK14" i="33"/>
  <c r="CL14" i="33"/>
  <c r="CM14" i="33"/>
  <c r="AD53" i="33"/>
  <c r="AX76" i="33"/>
  <c r="AB59" i="33"/>
  <c r="AV64" i="33"/>
  <c r="AK23" i="33"/>
  <c r="AI100" i="33" s="1"/>
  <c r="AK100" i="33" s="1"/>
  <c r="AJ23" i="33"/>
  <c r="AG100" i="33" s="1"/>
  <c r="JG4" i="33"/>
  <c r="JD81" i="33" s="1"/>
  <c r="JF4" i="33"/>
  <c r="JB81" i="33" s="1"/>
  <c r="JC38" i="33"/>
  <c r="LF7" i="33"/>
  <c r="LG7" i="33"/>
  <c r="LE7" i="33"/>
  <c r="BB46" i="33"/>
  <c r="LC24" i="33"/>
  <c r="LD24" i="33"/>
  <c r="BA63" i="33"/>
  <c r="LB24" i="33"/>
  <c r="EU5" i="33"/>
  <c r="ES82" i="33" s="1"/>
  <c r="ET5" i="33"/>
  <c r="EQ82" i="33" s="1"/>
  <c r="AT66" i="33"/>
  <c r="IH27" i="33"/>
  <c r="IG27" i="33"/>
  <c r="II27" i="33"/>
  <c r="BD53" i="33"/>
  <c r="LL17" i="33"/>
  <c r="LI94" i="33" s="1"/>
  <c r="LK17" i="33"/>
  <c r="LG94" i="33" s="1"/>
  <c r="LJ94" i="33" s="1"/>
  <c r="HU28" i="33"/>
  <c r="HR105" i="33" s="1"/>
  <c r="HT28" i="33"/>
  <c r="HP105" i="33" s="1"/>
  <c r="AU47" i="33"/>
  <c r="GD19" i="33"/>
  <c r="GC19" i="33"/>
  <c r="GB19" i="33"/>
  <c r="AN58" i="33"/>
  <c r="U60" i="33"/>
  <c r="LI26" i="33"/>
  <c r="LF103" i="33" s="1"/>
  <c r="LJ103" i="33" s="1"/>
  <c r="LJ26" i="33"/>
  <c r="LH103" i="33" s="1"/>
  <c r="AN69" i="33"/>
  <c r="AI49" i="33"/>
  <c r="ET36" i="33"/>
  <c r="EQ113" i="33" s="1"/>
  <c r="EU113" i="33" s="1"/>
  <c r="EU36" i="33"/>
  <c r="ES113" i="33" s="1"/>
  <c r="BD47" i="33"/>
  <c r="LU21" i="33"/>
  <c r="LV21" i="33"/>
  <c r="LW21" i="33"/>
  <c r="BC60" i="33"/>
  <c r="Z54" i="33"/>
  <c r="AC63" i="33"/>
  <c r="DJ6" i="33"/>
  <c r="DK6" i="33"/>
  <c r="DH83" i="33" s="1"/>
  <c r="DV17" i="33"/>
  <c r="DT17" i="33"/>
  <c r="DU17" i="33"/>
  <c r="AG56" i="33"/>
  <c r="CK8" i="33"/>
  <c r="CL8" i="33"/>
  <c r="AD47" i="33"/>
  <c r="CM8" i="33"/>
  <c r="LK21" i="33"/>
  <c r="LG98" i="33" s="1"/>
  <c r="LL21" i="33"/>
  <c r="LI98" i="33" s="1"/>
  <c r="KR4" i="33"/>
  <c r="KN81" i="33" s="1"/>
  <c r="KQ81" i="33" s="1"/>
  <c r="KO38" i="33"/>
  <c r="KS4" i="33"/>
  <c r="KP81" i="33" s="1"/>
  <c r="E38" i="24"/>
  <c r="E39" i="24" s="1"/>
  <c r="E41" i="24"/>
  <c r="E37" i="24"/>
  <c r="AR55" i="33"/>
  <c r="JD9" i="33"/>
  <c r="JA86" i="33" s="1"/>
  <c r="JE86" i="33" s="1"/>
  <c r="JE9" i="33"/>
  <c r="JC86" i="33" s="1"/>
  <c r="MB5" i="33"/>
  <c r="MC5" i="33"/>
  <c r="MA82" i="33" s="1"/>
  <c r="AL48" i="33"/>
  <c r="FJ9" i="33"/>
  <c r="FK9" i="33"/>
  <c r="FI9" i="33"/>
  <c r="GG16" i="33"/>
  <c r="GE93" i="33" s="1"/>
  <c r="GF16" i="33"/>
  <c r="KQ34" i="33"/>
  <c r="KO111" i="33" s="1"/>
  <c r="KP34" i="33"/>
  <c r="KM111" i="33" s="1"/>
  <c r="BB76" i="33"/>
  <c r="F37" i="24"/>
  <c r="F38" i="24"/>
  <c r="F41" i="24"/>
  <c r="ER37" i="33"/>
  <c r="AJ76" i="33"/>
  <c r="EP37" i="33"/>
  <c r="EQ37" i="33"/>
  <c r="BB67" i="33"/>
  <c r="U22" i="24"/>
  <c r="T22" i="24"/>
  <c r="JD34" i="33"/>
  <c r="JA111" i="33" s="1"/>
  <c r="JE34" i="33"/>
  <c r="JC111" i="33" s="1"/>
  <c r="CR20" i="33"/>
  <c r="CO97" i="33" s="1"/>
  <c r="CQ20" i="33"/>
  <c r="CM97" i="33" s="1"/>
  <c r="CP97" i="33" s="1"/>
  <c r="DA7" i="33"/>
  <c r="DC7" i="33"/>
  <c r="DB7" i="33"/>
  <c r="AE46" i="33"/>
  <c r="AC65" i="33"/>
  <c r="KR26" i="33"/>
  <c r="KN103" i="33" s="1"/>
  <c r="KQ103" i="33" s="1"/>
  <c r="KS26" i="33"/>
  <c r="KP103" i="33" s="1"/>
  <c r="JY27" i="33"/>
  <c r="JU104" i="33" s="1"/>
  <c r="JX104" i="33" s="1"/>
  <c r="JZ27" i="33"/>
  <c r="JW104" i="33" s="1"/>
  <c r="AR46" i="33"/>
  <c r="KL28" i="33"/>
  <c r="AZ67" i="33"/>
  <c r="KN28" i="33"/>
  <c r="KM28" i="33"/>
  <c r="T27" i="24"/>
  <c r="U27" i="24"/>
  <c r="V27" i="24" s="1"/>
  <c r="AU56" i="33"/>
  <c r="GI11" i="33"/>
  <c r="GF88" i="33" s="1"/>
  <c r="GH11" i="33"/>
  <c r="GD88" i="33" s="1"/>
  <c r="GG88" i="33" s="1"/>
  <c r="GA10" i="33"/>
  <c r="AM49" i="33"/>
  <c r="FZ10" i="33"/>
  <c r="FY10" i="33"/>
  <c r="AO61" i="33"/>
  <c r="GS22" i="33"/>
  <c r="GT22" i="33"/>
  <c r="GR22" i="33"/>
  <c r="X59" i="33"/>
  <c r="HO33" i="33"/>
  <c r="AR72" i="33"/>
  <c r="HN33" i="33"/>
  <c r="HP33" i="33"/>
  <c r="LY22" i="33"/>
  <c r="BD61" i="33"/>
  <c r="LZ22" i="33"/>
  <c r="LX22" i="33"/>
  <c r="IL37" i="33"/>
  <c r="IJ114" i="33" s="1"/>
  <c r="IK37" i="33"/>
  <c r="IH114" i="33" s="1"/>
  <c r="V61" i="33"/>
  <c r="II16" i="33"/>
  <c r="IG16" i="33"/>
  <c r="IH16" i="33"/>
  <c r="AT55" i="33"/>
  <c r="AW17" i="33"/>
  <c r="AV17" i="33"/>
  <c r="AX17" i="33"/>
  <c r="Y56" i="33"/>
  <c r="AS66" i="33"/>
  <c r="T11" i="24"/>
  <c r="U11" i="24"/>
  <c r="AB48" i="33"/>
  <c r="IK31" i="33"/>
  <c r="IH108" i="33" s="1"/>
  <c r="IL31" i="33"/>
  <c r="IJ108" i="33" s="1"/>
  <c r="W48" i="33"/>
  <c r="AO59" i="33"/>
  <c r="EC12" i="33"/>
  <c r="DY89" i="33" s="1"/>
  <c r="EB89" i="33" s="1"/>
  <c r="ED12" i="33"/>
  <c r="EA89" i="33" s="1"/>
  <c r="U19" i="24"/>
  <c r="T19" i="24"/>
  <c r="JZ21" i="33"/>
  <c r="JW98" i="33" s="1"/>
  <c r="JY21" i="33"/>
  <c r="JU98" i="33" s="1"/>
  <c r="AC51" i="33"/>
  <c r="AY30" i="33"/>
  <c r="AZ30" i="33"/>
  <c r="BA30" i="33"/>
  <c r="Z69" i="33"/>
  <c r="BF32" i="33"/>
  <c r="BC109" i="33" s="1"/>
  <c r="BE32" i="33"/>
  <c r="BA109" i="33" s="1"/>
  <c r="KM37" i="33"/>
  <c r="AZ76" i="33"/>
  <c r="KN37" i="33"/>
  <c r="KL37" i="33"/>
  <c r="LI4" i="33"/>
  <c r="LF81" i="33" s="1"/>
  <c r="LH38" i="33"/>
  <c r="LJ4" i="33"/>
  <c r="LH81" i="33" s="1"/>
  <c r="AW50" i="33"/>
  <c r="FK35" i="33"/>
  <c r="AL74" i="33"/>
  <c r="FJ35" i="33"/>
  <c r="FI35" i="33"/>
  <c r="FI38" i="33" s="1"/>
  <c r="FI39" i="33" s="1"/>
  <c r="HB23" i="33"/>
  <c r="GY100" i="33" s="1"/>
  <c r="HA23" i="33"/>
  <c r="GW100" i="33" s="1"/>
  <c r="DA37" i="33"/>
  <c r="DC37" i="33"/>
  <c r="DB37" i="33"/>
  <c r="AE76" i="33"/>
  <c r="R10" i="33"/>
  <c r="P87" i="33" s="1"/>
  <c r="Q10" i="33"/>
  <c r="N87" i="33" s="1"/>
  <c r="R87" i="33" s="1"/>
  <c r="EW15" i="33"/>
  <c r="ET92" i="33" s="1"/>
  <c r="EV15" i="33"/>
  <c r="ER92" i="33" s="1"/>
  <c r="EU92" i="33" s="1"/>
  <c r="AN73" i="33"/>
  <c r="KP32" i="33"/>
  <c r="KM109" i="33" s="1"/>
  <c r="KQ32" i="33"/>
  <c r="KO109" i="33" s="1"/>
  <c r="ED34" i="33"/>
  <c r="EA111" i="33" s="1"/>
  <c r="EB111" i="33" s="1"/>
  <c r="EC34" i="33"/>
  <c r="DY111" i="33" s="1"/>
  <c r="GC13" i="33"/>
  <c r="AN52" i="33"/>
  <c r="GD13" i="33"/>
  <c r="GB13" i="33"/>
  <c r="AV66" i="33"/>
  <c r="EU23" i="33"/>
  <c r="ES100" i="33" s="1"/>
  <c r="ET23" i="33"/>
  <c r="EQ100" i="33" s="1"/>
  <c r="EU100" i="33" s="1"/>
  <c r="AD46" i="33"/>
  <c r="HR36" i="33"/>
  <c r="HO113" i="33" s="1"/>
  <c r="HS113" i="33" s="1"/>
  <c r="HS36" i="33"/>
  <c r="HQ113" i="33" s="1"/>
  <c r="IN20" i="33"/>
  <c r="IK97" i="33" s="1"/>
  <c r="IM20" i="33"/>
  <c r="II97" i="33" s="1"/>
  <c r="IL97" i="33" s="1"/>
  <c r="S29" i="33"/>
  <c r="O106" i="33" s="1"/>
  <c r="T29" i="33"/>
  <c r="Q106" i="33" s="1"/>
  <c r="W68" i="33"/>
  <c r="GS33" i="33"/>
  <c r="GR33" i="33"/>
  <c r="GT33" i="33"/>
  <c r="AO72" i="33"/>
  <c r="BD51" i="33"/>
  <c r="EC30" i="33"/>
  <c r="DY107" i="33" s="1"/>
  <c r="ED30" i="33"/>
  <c r="EA107" i="33" s="1"/>
  <c r="R28" i="33"/>
  <c r="P105" i="33" s="1"/>
  <c r="Q28" i="33"/>
  <c r="N105" i="33" s="1"/>
  <c r="L19" i="33"/>
  <c r="J19" i="33"/>
  <c r="U58" i="33"/>
  <c r="K19" i="33"/>
  <c r="FO5" i="33"/>
  <c r="FK82" i="33" s="1"/>
  <c r="FP5" i="33"/>
  <c r="FM82" i="33" s="1"/>
  <c r="GV32" i="33"/>
  <c r="GW32" i="33"/>
  <c r="GU32" i="33"/>
  <c r="AP71" i="33"/>
  <c r="AI62" i="33"/>
  <c r="EM23" i="33"/>
  <c r="EO23" i="33"/>
  <c r="EN23" i="33"/>
  <c r="AY12" i="33"/>
  <c r="AY38" i="33" s="1"/>
  <c r="AY39" i="33" s="1"/>
  <c r="Z51" i="33"/>
  <c r="AZ12" i="33"/>
  <c r="AZ38" i="33" s="1"/>
  <c r="AZ39" i="33" s="1"/>
  <c r="BA12" i="33"/>
  <c r="AS69" i="33"/>
  <c r="ME15" i="33"/>
  <c r="MB92" i="33" s="1"/>
  <c r="MD15" i="33"/>
  <c r="LZ92" i="33" s="1"/>
  <c r="AK52" i="33"/>
  <c r="EM30" i="33"/>
  <c r="EN30" i="33"/>
  <c r="EO30" i="33"/>
  <c r="AI69" i="33"/>
  <c r="DT6" i="33"/>
  <c r="DV6" i="33"/>
  <c r="DU6" i="33"/>
  <c r="AG45" i="33"/>
  <c r="HB5" i="33"/>
  <c r="GY82" i="33" s="1"/>
  <c r="HA5" i="33"/>
  <c r="GW82" i="33" s="1"/>
  <c r="AL59" i="33"/>
  <c r="DJ10" i="33"/>
  <c r="DF87" i="33" s="1"/>
  <c r="DK10" i="33"/>
  <c r="DH87" i="33" s="1"/>
  <c r="DU33" i="33"/>
  <c r="DT33" i="33"/>
  <c r="DV33" i="33"/>
  <c r="AG72" i="33"/>
  <c r="P37" i="24"/>
  <c r="P41" i="24"/>
  <c r="P38" i="24"/>
  <c r="U48" i="33"/>
  <c r="IW25" i="33"/>
  <c r="IX25" i="33"/>
  <c r="IY25" i="33"/>
  <c r="AU64" i="33"/>
  <c r="IE35" i="33"/>
  <c r="IF35" i="33"/>
  <c r="ID35" i="33"/>
  <c r="AS74" i="33"/>
  <c r="AP43" i="33"/>
  <c r="JZ34" i="33"/>
  <c r="JW111" i="33" s="1"/>
  <c r="JY34" i="33"/>
  <c r="JU111" i="33" s="1"/>
  <c r="AM48" i="33"/>
  <c r="DV29" i="33"/>
  <c r="DT29" i="33"/>
  <c r="DU29" i="33"/>
  <c r="AG68" i="33"/>
  <c r="BR10" i="33"/>
  <c r="BS10" i="33"/>
  <c r="AB49" i="33"/>
  <c r="BT10" i="33"/>
  <c r="KQ36" i="33"/>
  <c r="KO113" i="33" s="1"/>
  <c r="KP36" i="33"/>
  <c r="KM113" i="33" s="1"/>
  <c r="KQ113" i="33" s="1"/>
  <c r="U6" i="24"/>
  <c r="T6" i="24"/>
  <c r="EM14" i="33"/>
  <c r="AI53" i="33"/>
  <c r="EO14" i="33"/>
  <c r="EN14" i="33"/>
  <c r="AL43" i="33"/>
  <c r="EC16" i="33"/>
  <c r="DY93" i="33" s="1"/>
  <c r="ED16" i="33"/>
  <c r="EA93" i="33" s="1"/>
  <c r="AH58" i="33"/>
  <c r="LY4" i="33"/>
  <c r="BD43" i="33"/>
  <c r="LX4" i="33"/>
  <c r="LZ4" i="33"/>
  <c r="AW55" i="33"/>
  <c r="IL15" i="33"/>
  <c r="IJ92" i="33" s="1"/>
  <c r="IK15" i="33"/>
  <c r="IH92" i="33" s="1"/>
  <c r="HM18" i="33"/>
  <c r="HL18" i="33"/>
  <c r="HK18" i="33"/>
  <c r="AQ57" i="33"/>
  <c r="AV56" i="33"/>
  <c r="JA17" i="33"/>
  <c r="IZ17" i="33"/>
  <c r="JB17" i="33"/>
  <c r="AS53" i="33"/>
  <c r="BB69" i="33"/>
  <c r="BA21" i="33"/>
  <c r="AY21" i="33"/>
  <c r="AZ21" i="33"/>
  <c r="Z60" i="33"/>
  <c r="Y45" i="33"/>
  <c r="AV6" i="33"/>
  <c r="AW6" i="33"/>
  <c r="AX6" i="33"/>
  <c r="M5" i="33"/>
  <c r="N5" i="33"/>
  <c r="O5" i="33"/>
  <c r="V44" i="33"/>
  <c r="S34" i="33"/>
  <c r="O111" i="33" s="1"/>
  <c r="R111" i="33" s="1"/>
  <c r="T34" i="33"/>
  <c r="Q111" i="33" s="1"/>
  <c r="FM18" i="33"/>
  <c r="FJ95" i="33" s="1"/>
  <c r="FN18" i="33"/>
  <c r="FL95" i="33" s="1"/>
  <c r="R30" i="33"/>
  <c r="P107" i="33" s="1"/>
  <c r="Q30" i="33"/>
  <c r="N107" i="33" s="1"/>
  <c r="Q37" i="33"/>
  <c r="N114" i="33" s="1"/>
  <c r="R114" i="33" s="1"/>
  <c r="R37" i="33"/>
  <c r="P114" i="33" s="1"/>
  <c r="BS32" i="33"/>
  <c r="BR32" i="33"/>
  <c r="BT32" i="33"/>
  <c r="AB71" i="33"/>
  <c r="AY45" i="33"/>
  <c r="CM26" i="33"/>
  <c r="AD65" i="33"/>
  <c r="CK26" i="33"/>
  <c r="CL26" i="33"/>
  <c r="DW36" i="33"/>
  <c r="DY36" i="33"/>
  <c r="AH75" i="33"/>
  <c r="DX36" i="33"/>
  <c r="AG50" i="33"/>
  <c r="CP33" i="33"/>
  <c r="CN110" i="33" s="1"/>
  <c r="CP110" i="33" s="1"/>
  <c r="CO33" i="33"/>
  <c r="CL110" i="33" s="1"/>
  <c r="AO60" i="33"/>
  <c r="AO64" i="33"/>
  <c r="FF30" i="33"/>
  <c r="AK69" i="33"/>
  <c r="FH30" i="33"/>
  <c r="FG30" i="33"/>
  <c r="AP45" i="33"/>
  <c r="HP8" i="33"/>
  <c r="HO8" i="33"/>
  <c r="HN8" i="33"/>
  <c r="AR47" i="33"/>
  <c r="AL67" i="33"/>
  <c r="EB13" i="33"/>
  <c r="DZ90" i="33" s="1"/>
  <c r="EA13" i="33"/>
  <c r="DX90" i="33" s="1"/>
  <c r="EB90" i="33" s="1"/>
  <c r="KL8" i="33"/>
  <c r="AZ47" i="33"/>
  <c r="KM8" i="33"/>
  <c r="KN8" i="33"/>
  <c r="FM22" i="33"/>
  <c r="FJ99" i="33" s="1"/>
  <c r="FN22" i="33"/>
  <c r="FL99" i="33" s="1"/>
  <c r="HA34" i="33"/>
  <c r="GW111" i="33" s="1"/>
  <c r="HB34" i="33"/>
  <c r="GY111" i="33" s="1"/>
  <c r="AL71" i="33"/>
  <c r="EU12" i="33"/>
  <c r="ES89" i="33" s="1"/>
  <c r="ET12" i="33"/>
  <c r="EQ89" i="33" s="1"/>
  <c r="EU89" i="33" s="1"/>
  <c r="AR59" i="33"/>
  <c r="BF26" i="33"/>
  <c r="BC103" i="33" s="1"/>
  <c r="BE26" i="33"/>
  <c r="BA103" i="33" s="1"/>
  <c r="BB47" i="33"/>
  <c r="EU11" i="33"/>
  <c r="ES88" i="33" s="1"/>
  <c r="ET11" i="33"/>
  <c r="EQ88" i="33" s="1"/>
  <c r="EU88" i="33" s="1"/>
  <c r="AZ66" i="33"/>
  <c r="AT45" i="33"/>
  <c r="AT77" i="33" s="1"/>
  <c r="BF28" i="33"/>
  <c r="BC105" i="33" s="1"/>
  <c r="BE28" i="33"/>
  <c r="BA105" i="33" s="1"/>
  <c r="BD105" i="33" s="1"/>
  <c r="AC69" i="33"/>
  <c r="AL57" i="33"/>
  <c r="KN6" i="33"/>
  <c r="KL6" i="33"/>
  <c r="AZ45" i="33"/>
  <c r="KM6" i="33"/>
  <c r="FH16" i="33"/>
  <c r="FG16" i="33"/>
  <c r="FF16" i="33"/>
  <c r="AK55" i="33"/>
  <c r="J26" i="33"/>
  <c r="L26" i="33"/>
  <c r="U65" i="33"/>
  <c r="K26" i="33"/>
  <c r="CI29" i="33"/>
  <c r="AC68" i="33"/>
  <c r="CH29" i="33"/>
  <c r="CJ29" i="33"/>
  <c r="DU19" i="33"/>
  <c r="AG58" i="33"/>
  <c r="DT19" i="33"/>
  <c r="DV19" i="33"/>
  <c r="AV46" i="33"/>
  <c r="AG52" i="33"/>
  <c r="DV13" i="33"/>
  <c r="DT13" i="33"/>
  <c r="DU13" i="33"/>
  <c r="AY58" i="33"/>
  <c r="AM15" i="33"/>
  <c r="AJ92" i="33" s="1"/>
  <c r="AL15" i="33"/>
  <c r="AH92" i="33" s="1"/>
  <c r="AK92" i="33" s="1"/>
  <c r="AH72" i="33"/>
  <c r="IG9" i="33"/>
  <c r="AT48" i="33"/>
  <c r="IH9" i="33"/>
  <c r="II9" i="33"/>
  <c r="KN15" i="33"/>
  <c r="KL15" i="33"/>
  <c r="KM15" i="33"/>
  <c r="AZ54" i="33"/>
  <c r="M41" i="24"/>
  <c r="M38" i="24"/>
  <c r="M39" i="24" s="1"/>
  <c r="M37" i="24"/>
  <c r="BY32" i="33"/>
  <c r="BV109" i="33" s="1"/>
  <c r="BX32" i="33"/>
  <c r="BT109" i="33" s="1"/>
  <c r="HK25" i="33"/>
  <c r="AQ64" i="33"/>
  <c r="HL25" i="33"/>
  <c r="HM25" i="33"/>
  <c r="CJ27" i="33"/>
  <c r="CI27" i="33"/>
  <c r="CH27" i="33"/>
  <c r="AC66" i="33"/>
  <c r="AF65" i="33"/>
  <c r="DF26" i="33"/>
  <c r="DE26" i="33"/>
  <c r="DD26" i="33"/>
  <c r="DJ28" i="33"/>
  <c r="DF105" i="33" s="1"/>
  <c r="DK28" i="33"/>
  <c r="DH105" i="33" s="1"/>
  <c r="FI13" i="33"/>
  <c r="AL52" i="33"/>
  <c r="AL77" i="33" s="1"/>
  <c r="FJ13" i="33"/>
  <c r="FK13" i="33"/>
  <c r="AM17" i="33"/>
  <c r="AJ94" i="33" s="1"/>
  <c r="AL17" i="33"/>
  <c r="AH94" i="33" s="1"/>
  <c r="Z68" i="33"/>
  <c r="T4" i="24"/>
  <c r="U4" i="24"/>
  <c r="AC45" i="33"/>
  <c r="BB45" i="33"/>
  <c r="U56" i="33"/>
  <c r="J17" i="33"/>
  <c r="L17" i="33"/>
  <c r="K17" i="33"/>
  <c r="AQ49" i="33"/>
  <c r="BC68" i="33"/>
  <c r="X51" i="33"/>
  <c r="GY9" i="33"/>
  <c r="GV86" i="33" s="1"/>
  <c r="GZ9" i="33"/>
  <c r="GX86" i="33" s="1"/>
  <c r="LF5" i="33"/>
  <c r="BB44" i="33"/>
  <c r="LE5" i="33"/>
  <c r="LG5" i="33"/>
  <c r="AF52" i="33"/>
  <c r="AS44" i="33"/>
  <c r="AS77" i="33" s="1"/>
  <c r="AC75" i="33"/>
  <c r="AV60" i="33"/>
  <c r="JF37" i="33"/>
  <c r="JB114" i="33" s="1"/>
  <c r="JG37" i="33"/>
  <c r="JD114" i="33" s="1"/>
  <c r="J6" i="33"/>
  <c r="K6" i="33"/>
  <c r="U45" i="33"/>
  <c r="L6" i="33"/>
  <c r="AY76" i="33"/>
  <c r="AR64" i="33"/>
  <c r="AR75" i="33"/>
  <c r="CR24" i="33"/>
  <c r="CO101" i="33" s="1"/>
  <c r="CQ24" i="33"/>
  <c r="CM101" i="33" s="1"/>
  <c r="AK76" i="33"/>
  <c r="HL20" i="33"/>
  <c r="HK20" i="33"/>
  <c r="HM20" i="33"/>
  <c r="AQ59" i="33"/>
  <c r="BD75" i="33"/>
  <c r="DB33" i="33"/>
  <c r="AE72" i="33"/>
  <c r="DA33" i="33"/>
  <c r="DC33" i="33"/>
  <c r="LV24" i="33"/>
  <c r="LU24" i="33"/>
  <c r="LW24" i="33"/>
  <c r="BC63" i="33"/>
  <c r="AQ72" i="33"/>
  <c r="AG73" i="33"/>
  <c r="AL11" i="33"/>
  <c r="AH88" i="33" s="1"/>
  <c r="AM11" i="33"/>
  <c r="AJ88" i="33" s="1"/>
  <c r="AJ62" i="33"/>
  <c r="AJ77" i="33" s="1"/>
  <c r="AK70" i="33"/>
  <c r="AE67" i="33"/>
  <c r="FM26" i="33"/>
  <c r="FJ103" i="33" s="1"/>
  <c r="FN26" i="33"/>
  <c r="AW60" i="33"/>
  <c r="AP61" i="33"/>
  <c r="GH17" i="33"/>
  <c r="GD94" i="33" s="1"/>
  <c r="GI17" i="33"/>
  <c r="GF94" i="33" s="1"/>
  <c r="AF58" i="33"/>
  <c r="S20" i="33"/>
  <c r="O97" i="33" s="1"/>
  <c r="R97" i="33" s="1"/>
  <c r="T20" i="33"/>
  <c r="Q97" i="33" s="1"/>
  <c r="AS68" i="33"/>
  <c r="BT28" i="33"/>
  <c r="BR28" i="33"/>
  <c r="AB67" i="33"/>
  <c r="BS28" i="33"/>
  <c r="DW20" i="33"/>
  <c r="AH59" i="33"/>
  <c r="DX20" i="33"/>
  <c r="DY20" i="33"/>
  <c r="BE14" i="33"/>
  <c r="BA91" i="33" s="1"/>
  <c r="BD91" i="33" s="1"/>
  <c r="BF14" i="33"/>
  <c r="BC91" i="33" s="1"/>
  <c r="DW16" i="33"/>
  <c r="DY16" i="33"/>
  <c r="DX16" i="33"/>
  <c r="AH55" i="33"/>
  <c r="BB73" i="33"/>
  <c r="BP21" i="33"/>
  <c r="AA60" i="33"/>
  <c r="BO21" i="33"/>
  <c r="BQ21" i="33"/>
  <c r="LF15" i="33"/>
  <c r="BB54" i="33"/>
  <c r="LG15" i="33"/>
  <c r="LE15" i="33"/>
  <c r="DJ34" i="33"/>
  <c r="DF111" i="33" s="1"/>
  <c r="DK34" i="33"/>
  <c r="DH111" i="33" s="1"/>
  <c r="KR22" i="33"/>
  <c r="KN99" i="33" s="1"/>
  <c r="KS22" i="33"/>
  <c r="KP99" i="33" s="1"/>
  <c r="Z56" i="33"/>
  <c r="U28" i="24"/>
  <c r="T28" i="24"/>
  <c r="V28" i="24" s="1"/>
  <c r="AE45" i="33"/>
  <c r="LD14" i="33"/>
  <c r="LC14" i="33"/>
  <c r="LB14" i="33"/>
  <c r="BA53" i="33"/>
  <c r="AW56" i="33"/>
  <c r="JQ17" i="33"/>
  <c r="JP17" i="33"/>
  <c r="JR17" i="33"/>
  <c r="AB52" i="33"/>
  <c r="AT49" i="33"/>
  <c r="EW33" i="33"/>
  <c r="ET110" i="33" s="1"/>
  <c r="EV33" i="33"/>
  <c r="ER110" i="33" s="1"/>
  <c r="EU110" i="33" s="1"/>
  <c r="X66" i="33"/>
  <c r="AF27" i="33"/>
  <c r="AH27" i="33"/>
  <c r="AG27" i="33"/>
  <c r="AU43" i="33"/>
  <c r="T21" i="33"/>
  <c r="Q98" i="33" s="1"/>
  <c r="S21" i="33"/>
  <c r="O98" i="33" s="1"/>
  <c r="GI19" i="33"/>
  <c r="GF96" i="33" s="1"/>
  <c r="GH19" i="33"/>
  <c r="GD96" i="33" s="1"/>
  <c r="GG96" i="33" s="1"/>
  <c r="DB11" i="33"/>
  <c r="DC11" i="33"/>
  <c r="DA11" i="33"/>
  <c r="AE50" i="33"/>
  <c r="ME13" i="33"/>
  <c r="MB90" i="33" s="1"/>
  <c r="MD13" i="33"/>
  <c r="LZ90" i="33" s="1"/>
  <c r="BX16" i="33"/>
  <c r="BT93" i="33" s="1"/>
  <c r="BY16" i="33"/>
  <c r="BV93" i="33" s="1"/>
  <c r="AH68" i="33"/>
  <c r="AJ64" i="33"/>
  <c r="KR17" i="33"/>
  <c r="KN94" i="33" s="1"/>
  <c r="KS17" i="33"/>
  <c r="KP94" i="33" s="1"/>
  <c r="BA50" i="33"/>
  <c r="HM27" i="33"/>
  <c r="HL27" i="33"/>
  <c r="HK27" i="33"/>
  <c r="AQ66" i="33"/>
  <c r="AC53" i="33"/>
  <c r="GY37" i="33"/>
  <c r="GV114" i="33" s="1"/>
  <c r="GZ37" i="33"/>
  <c r="GX114" i="33" s="1"/>
  <c r="IE37" i="33"/>
  <c r="IF37" i="33"/>
  <c r="AS76" i="33"/>
  <c r="ID37" i="33"/>
  <c r="AI75" i="33"/>
  <c r="EO36" i="33"/>
  <c r="EM36" i="33"/>
  <c r="EN36" i="33"/>
  <c r="JE31" i="33"/>
  <c r="JC108" i="33" s="1"/>
  <c r="JD31" i="33"/>
  <c r="JA108" i="33" s="1"/>
  <c r="J14" i="33"/>
  <c r="K14" i="33"/>
  <c r="L14" i="33"/>
  <c r="U53" i="33"/>
  <c r="AC47" i="33"/>
  <c r="AQ54" i="33"/>
  <c r="HL15" i="33"/>
  <c r="HK15" i="33"/>
  <c r="HM15" i="33"/>
  <c r="AP52" i="33"/>
  <c r="CL21" i="33"/>
  <c r="AD60" i="33"/>
  <c r="CK21" i="33"/>
  <c r="CM21" i="33"/>
  <c r="GD6" i="33"/>
  <c r="GC6" i="33"/>
  <c r="AN45" i="33"/>
  <c r="GB6" i="33"/>
  <c r="FH34" i="33"/>
  <c r="AK73" i="33"/>
  <c r="FF34" i="33"/>
  <c r="FG34" i="33"/>
  <c r="X44" i="33"/>
  <c r="IF4" i="33"/>
  <c r="IE4" i="33"/>
  <c r="ID4" i="33"/>
  <c r="AS43" i="33"/>
  <c r="AZ56" i="33"/>
  <c r="KM17" i="33"/>
  <c r="KN17" i="33"/>
  <c r="KL17" i="33"/>
  <c r="Y44" i="33"/>
  <c r="KK21" i="33"/>
  <c r="AY60" i="33"/>
  <c r="KI21" i="33"/>
  <c r="KJ21" i="33"/>
  <c r="KJ38" i="33" s="1"/>
  <c r="KJ39" i="33" s="1"/>
  <c r="LC8" i="33"/>
  <c r="BA47" i="33"/>
  <c r="LD8" i="33"/>
  <c r="LB8" i="33"/>
  <c r="MC8" i="33"/>
  <c r="MA85" i="33" s="1"/>
  <c r="MB8" i="33"/>
  <c r="LY85" i="33" s="1"/>
  <c r="W61" i="33"/>
  <c r="EN20" i="33"/>
  <c r="AI59" i="33"/>
  <c r="EM20" i="33"/>
  <c r="EO20" i="33"/>
  <c r="U14" i="24"/>
  <c r="T14" i="24"/>
  <c r="V14" i="24" s="1"/>
  <c r="AK68" i="33"/>
  <c r="CP4" i="33"/>
  <c r="CN81" i="33" s="1"/>
  <c r="CO4" i="33"/>
  <c r="CL81" i="33" s="1"/>
  <c r="CP81" i="33" s="1"/>
  <c r="CN38" i="33"/>
  <c r="KI27" i="33"/>
  <c r="KJ27" i="33"/>
  <c r="AY66" i="33"/>
  <c r="KK27" i="33"/>
  <c r="HR31" i="33"/>
  <c r="HO108" i="33" s="1"/>
  <c r="HS108" i="33" s="1"/>
  <c r="HS31" i="33"/>
  <c r="HQ108" i="33" s="1"/>
  <c r="GU10" i="33"/>
  <c r="GU38" i="33" s="1"/>
  <c r="GU39" i="33" s="1"/>
  <c r="GW10" i="33"/>
  <c r="GV10" i="33"/>
  <c r="AP49" i="33"/>
  <c r="GF30" i="33"/>
  <c r="GC107" i="33" s="1"/>
  <c r="GG30" i="33"/>
  <c r="GE107" i="33" s="1"/>
  <c r="AN55" i="33"/>
  <c r="AN77" i="33" s="1"/>
  <c r="HS18" i="33"/>
  <c r="HQ95" i="33" s="1"/>
  <c r="HR18" i="33"/>
  <c r="HO95" i="33" s="1"/>
  <c r="HS95" i="33" s="1"/>
  <c r="EV29" i="33"/>
  <c r="ER106" i="33" s="1"/>
  <c r="EW29" i="33"/>
  <c r="ET106" i="33" s="1"/>
  <c r="IK8" i="33"/>
  <c r="IH85" i="33" s="1"/>
  <c r="IL85" i="33" s="1"/>
  <c r="IL8" i="33"/>
  <c r="IJ85" i="33" s="1"/>
  <c r="AX65" i="33"/>
  <c r="JG24" i="33"/>
  <c r="JD101" i="33" s="1"/>
  <c r="JE101" i="33" s="1"/>
  <c r="JF24" i="33"/>
  <c r="JB101" i="33" s="1"/>
  <c r="L8" i="33"/>
  <c r="U47" i="33"/>
  <c r="J8" i="33"/>
  <c r="K8" i="33"/>
  <c r="R14" i="33"/>
  <c r="P91" i="33" s="1"/>
  <c r="Q14" i="33"/>
  <c r="N91" i="33" s="1"/>
  <c r="R91" i="33" s="1"/>
  <c r="GI15" i="33"/>
  <c r="GF92" i="33" s="1"/>
  <c r="GG92" i="33" s="1"/>
  <c r="GH15" i="33"/>
  <c r="GD92" i="33" s="1"/>
  <c r="LV10" i="33"/>
  <c r="LU10" i="33"/>
  <c r="BC49" i="33"/>
  <c r="LW10" i="33"/>
  <c r="AM13" i="33"/>
  <c r="AJ90" i="33" s="1"/>
  <c r="AL13" i="33"/>
  <c r="AH90" i="33" s="1"/>
  <c r="S25" i="33"/>
  <c r="O102" i="33" s="1"/>
  <c r="R102" i="33" s="1"/>
  <c r="T25" i="33"/>
  <c r="Q102" i="33" s="1"/>
  <c r="BY26" i="33"/>
  <c r="BV103" i="33" s="1"/>
  <c r="BV115" i="33" s="1"/>
  <c r="BX26" i="33"/>
  <c r="BT103" i="33" s="1"/>
  <c r="FF22" i="33"/>
  <c r="AK61" i="33"/>
  <c r="FG22" i="33"/>
  <c r="FH22" i="33"/>
  <c r="AE53" i="33"/>
  <c r="LU18" i="33"/>
  <c r="LW18" i="33"/>
  <c r="LV18" i="33"/>
  <c r="BC57" i="33"/>
  <c r="JQ6" i="33"/>
  <c r="JP6" i="33"/>
  <c r="AW45" i="33"/>
  <c r="JR6" i="33"/>
  <c r="U62" i="33"/>
  <c r="AE65" i="33"/>
  <c r="AT54" i="33"/>
  <c r="HA10" i="33"/>
  <c r="GW87" i="33" s="1"/>
  <c r="HB10" i="33"/>
  <c r="GY87" i="33" s="1"/>
  <c r="GW20" i="33"/>
  <c r="GU20" i="33"/>
  <c r="AP59" i="33"/>
  <c r="GV20" i="33"/>
  <c r="DD20" i="33"/>
  <c r="DF20" i="33"/>
  <c r="DE20" i="33"/>
  <c r="AF59" i="33"/>
  <c r="N31" i="33"/>
  <c r="V70" i="33"/>
  <c r="O31" i="33"/>
  <c r="M31" i="33"/>
  <c r="BC6" i="33"/>
  <c r="AZ83" i="33" s="1"/>
  <c r="BD83" i="33" s="1"/>
  <c r="BD6" i="33"/>
  <c r="BB83" i="33" s="1"/>
  <c r="CH15" i="33"/>
  <c r="AC54" i="33"/>
  <c r="CJ15" i="33"/>
  <c r="CI15" i="33"/>
  <c r="IF6" i="33"/>
  <c r="ID6" i="33"/>
  <c r="AS45" i="33"/>
  <c r="IE6" i="33"/>
  <c r="DI35" i="33"/>
  <c r="DG112" i="33" s="1"/>
  <c r="DH35" i="33"/>
  <c r="DE112" i="33" s="1"/>
  <c r="EV28" i="33"/>
  <c r="ER105" i="33" s="1"/>
  <c r="EW28" i="33"/>
  <c r="ET105" i="33" s="1"/>
  <c r="JG33" i="33"/>
  <c r="JD110" i="33" s="1"/>
  <c r="JF33" i="33"/>
  <c r="JB110" i="33" s="1"/>
  <c r="KS10" i="33"/>
  <c r="KP87" i="33" s="1"/>
  <c r="KQ87" i="33" s="1"/>
  <c r="KR10" i="33"/>
  <c r="KN87" i="33" s="1"/>
  <c r="AZ55" i="33"/>
  <c r="AI45" i="33"/>
  <c r="EM16" i="33"/>
  <c r="EN16" i="33"/>
  <c r="EO16" i="33"/>
  <c r="AI55" i="33"/>
  <c r="AZ51" i="33"/>
  <c r="KM12" i="33"/>
  <c r="KL12" i="33"/>
  <c r="KN12" i="33"/>
  <c r="IL24" i="33"/>
  <c r="IJ101" i="33" s="1"/>
  <c r="IK24" i="33"/>
  <c r="IH101" i="33" s="1"/>
  <c r="IL101" i="33" s="1"/>
  <c r="Y51" i="33"/>
  <c r="IK22" i="33"/>
  <c r="IH99" i="33" s="1"/>
  <c r="IL22" i="33"/>
  <c r="IJ99" i="33" s="1"/>
  <c r="BX22" i="33"/>
  <c r="BT99" i="33" s="1"/>
  <c r="BY22" i="33"/>
  <c r="BV99" i="33" s="1"/>
  <c r="AS64" i="33"/>
  <c r="U29" i="24"/>
  <c r="T29" i="24"/>
  <c r="IL13" i="33"/>
  <c r="IJ90" i="33" s="1"/>
  <c r="IK13" i="33"/>
  <c r="IH90" i="33" s="1"/>
  <c r="AP53" i="33"/>
  <c r="GV14" i="33"/>
  <c r="GU14" i="33"/>
  <c r="GW14" i="33"/>
  <c r="Q35" i="33"/>
  <c r="N112" i="33" s="1"/>
  <c r="R35" i="33"/>
  <c r="P112" i="33" s="1"/>
  <c r="R112" i="33" s="1"/>
  <c r="BC19" i="33"/>
  <c r="AZ96" i="33" s="1"/>
  <c r="BD19" i="33"/>
  <c r="BB96" i="33" s="1"/>
  <c r="JE11" i="33"/>
  <c r="JC88" i="33" s="1"/>
  <c r="JC115" i="33" s="1"/>
  <c r="JC116" i="33" s="1"/>
  <c r="JD11" i="33"/>
  <c r="JA88" i="33" s="1"/>
  <c r="MD4" i="33"/>
  <c r="LZ81" i="33" s="1"/>
  <c r="ME4" i="33"/>
  <c r="MB81" i="33" s="1"/>
  <c r="MA38" i="33"/>
  <c r="LF11" i="33"/>
  <c r="BB50" i="33"/>
  <c r="LE11" i="33"/>
  <c r="LG11" i="33"/>
  <c r="HL34" i="33"/>
  <c r="AQ73" i="33"/>
  <c r="HK34" i="33"/>
  <c r="HM34" i="33"/>
  <c r="AG8" i="33"/>
  <c r="AF8" i="33"/>
  <c r="AH8" i="33"/>
  <c r="X47" i="33"/>
  <c r="JU34" i="33"/>
  <c r="JT34" i="33"/>
  <c r="AX73" i="33"/>
  <c r="JS34" i="33"/>
  <c r="AV44" i="33"/>
  <c r="AY61" i="33"/>
  <c r="AM68" i="33"/>
  <c r="GZ11" i="33"/>
  <c r="GX88" i="33" s="1"/>
  <c r="GX115" i="33" s="1"/>
  <c r="GX116" i="33" s="1"/>
  <c r="GY11" i="33"/>
  <c r="GV88" i="33" s="1"/>
  <c r="AO69" i="33"/>
  <c r="HR21" i="33"/>
  <c r="HO98" i="33" s="1"/>
  <c r="HS21" i="33"/>
  <c r="HQ98" i="33" s="1"/>
  <c r="MD23" i="33"/>
  <c r="LZ100" i="33" s="1"/>
  <c r="ME23" i="33"/>
  <c r="MB100" i="33" s="1"/>
  <c r="MB115" i="33" s="1"/>
  <c r="DW18" i="33"/>
  <c r="DX18" i="33"/>
  <c r="DY18" i="33"/>
  <c r="AH57" i="33"/>
  <c r="DI15" i="33"/>
  <c r="DG92" i="33" s="1"/>
  <c r="DH15" i="33"/>
  <c r="DE92" i="33" s="1"/>
  <c r="BP23" i="33"/>
  <c r="BQ23" i="33"/>
  <c r="AA62" i="33"/>
  <c r="BO23" i="33"/>
  <c r="CR5" i="33"/>
  <c r="CO82" i="33" s="1"/>
  <c r="CQ5" i="33"/>
  <c r="CM82" i="33" s="1"/>
  <c r="AH49" i="33"/>
  <c r="AK56" i="33"/>
  <c r="BO20" i="33"/>
  <c r="BP20" i="33"/>
  <c r="AA59" i="33"/>
  <c r="BQ20" i="33"/>
  <c r="KI11" i="33"/>
  <c r="KK11" i="33"/>
  <c r="AY50" i="33"/>
  <c r="KJ11" i="33"/>
  <c r="AT56" i="33"/>
  <c r="U8" i="24"/>
  <c r="V8" i="24" s="1"/>
  <c r="T8" i="24"/>
  <c r="CO9" i="33"/>
  <c r="CL86" i="33" s="1"/>
  <c r="CP9" i="33"/>
  <c r="CN86" i="33" s="1"/>
  <c r="IX27" i="33"/>
  <c r="IY27" i="33"/>
  <c r="AU66" i="33"/>
  <c r="IW27" i="33"/>
  <c r="FY20" i="33"/>
  <c r="AM59" i="33"/>
  <c r="GA20" i="33"/>
  <c r="FZ20" i="33"/>
  <c r="KL22" i="33"/>
  <c r="KM22" i="33"/>
  <c r="KN22" i="33"/>
  <c r="AZ61" i="33"/>
  <c r="DH29" i="33"/>
  <c r="DE106" i="33" s="1"/>
  <c r="DI106" i="33" s="1"/>
  <c r="DI29" i="33"/>
  <c r="DG106" i="33" s="1"/>
  <c r="AN62" i="33"/>
  <c r="GB4" i="33"/>
  <c r="GD4" i="33"/>
  <c r="GC4" i="33"/>
  <c r="AN43" i="33"/>
  <c r="BD29" i="33"/>
  <c r="BB106" i="33" s="1"/>
  <c r="BC29" i="33"/>
  <c r="AZ106" i="33" s="1"/>
  <c r="BD106" i="33" s="1"/>
  <c r="BD69" i="33"/>
  <c r="HN37" i="33"/>
  <c r="HP37" i="33"/>
  <c r="HO37" i="33"/>
  <c r="AR76" i="33"/>
  <c r="AB60" i="33"/>
  <c r="LI12" i="33"/>
  <c r="LF89" i="33" s="1"/>
  <c r="LJ12" i="33"/>
  <c r="LH89" i="33" s="1"/>
  <c r="AV59" i="33"/>
  <c r="AH63" i="33"/>
  <c r="JB6" i="33"/>
  <c r="JA6" i="33"/>
  <c r="AV45" i="33"/>
  <c r="IZ6" i="33"/>
  <c r="D41" i="24"/>
  <c r="D38" i="24"/>
  <c r="D39" i="24" s="1"/>
  <c r="D37" i="24"/>
  <c r="BB55" i="33"/>
  <c r="AL27" i="33"/>
  <c r="AH104" i="33" s="1"/>
  <c r="AM27" i="33"/>
  <c r="AJ104" i="33" s="1"/>
  <c r="BX6" i="33"/>
  <c r="BT83" i="33" s="1"/>
  <c r="BY6" i="33"/>
  <c r="BV83" i="33" s="1"/>
  <c r="AX67" i="33"/>
  <c r="JP22" i="33"/>
  <c r="AW61" i="33"/>
  <c r="JQ22" i="33"/>
  <c r="JR22" i="33"/>
  <c r="JG15" i="33"/>
  <c r="JD92" i="33" s="1"/>
  <c r="JF15" i="33"/>
  <c r="JB92" i="33" s="1"/>
  <c r="JE92" i="33" s="1"/>
  <c r="HN35" i="33"/>
  <c r="AR74" i="33"/>
  <c r="HO35" i="33"/>
  <c r="HP35" i="33"/>
  <c r="HR11" i="33"/>
  <c r="HO88" i="33" s="1"/>
  <c r="HS88" i="33" s="1"/>
  <c r="HS11" i="33"/>
  <c r="HQ88" i="33" s="1"/>
  <c r="J38" i="24"/>
  <c r="J37" i="24"/>
  <c r="J41" i="24"/>
  <c r="DA9" i="33"/>
  <c r="DB9" i="33"/>
  <c r="DB38" i="33" s="1"/>
  <c r="DB39" i="33" s="1"/>
  <c r="DC9" i="33"/>
  <c r="AE48" i="33"/>
  <c r="HR5" i="33"/>
  <c r="HO82" i="33" s="1"/>
  <c r="HS5" i="33"/>
  <c r="HQ82" i="33" s="1"/>
  <c r="Y57" i="33"/>
  <c r="IL26" i="33"/>
  <c r="IJ103" i="33" s="1"/>
  <c r="IK26" i="33"/>
  <c r="IH103" i="33" s="1"/>
  <c r="FF18" i="33"/>
  <c r="FF38" i="33" s="1"/>
  <c r="FF39" i="33" s="1"/>
  <c r="FG18" i="33"/>
  <c r="AK57" i="33"/>
  <c r="AK77" i="33" s="1"/>
  <c r="AL78" i="33" s="1"/>
  <c r="FH18" i="33"/>
  <c r="BC62" i="33"/>
  <c r="EN32" i="33"/>
  <c r="EO32" i="33"/>
  <c r="EM32" i="33"/>
  <c r="AI71" i="33"/>
  <c r="AC44" i="33"/>
  <c r="AX4" i="33"/>
  <c r="Y43" i="33"/>
  <c r="AV4" i="33"/>
  <c r="AW4" i="33"/>
  <c r="LY17" i="33"/>
  <c r="LZ17" i="33"/>
  <c r="LX17" i="33"/>
  <c r="BD56" i="33"/>
  <c r="MD27" i="33"/>
  <c r="LZ104" i="33" s="1"/>
  <c r="MC104" i="33" s="1"/>
  <c r="ME27" i="33"/>
  <c r="MB104" i="33" s="1"/>
  <c r="BY28" i="33"/>
  <c r="BV105" i="33" s="1"/>
  <c r="BX28" i="33"/>
  <c r="BT105" i="33" s="1"/>
  <c r="S23" i="33"/>
  <c r="O100" i="33" s="1"/>
  <c r="T23" i="33"/>
  <c r="Q100" i="33" s="1"/>
  <c r="FN6" i="33"/>
  <c r="FL83" i="33" s="1"/>
  <c r="FM6" i="33"/>
  <c r="FJ83" i="33" s="1"/>
  <c r="KN35" i="33"/>
  <c r="KM35" i="33"/>
  <c r="AZ74" i="33"/>
  <c r="KL35" i="33"/>
  <c r="GD33" i="33"/>
  <c r="AN72" i="33"/>
  <c r="GB33" i="33"/>
  <c r="GC33" i="33"/>
  <c r="J4" i="33"/>
  <c r="J38" i="33" s="1"/>
  <c r="J39" i="33" s="1"/>
  <c r="U43" i="33"/>
  <c r="K4" i="33"/>
  <c r="L4" i="33"/>
  <c r="AD14" i="33"/>
  <c r="W53" i="33"/>
  <c r="AC14" i="33"/>
  <c r="AC38" i="33" s="1"/>
  <c r="AC39" i="33" s="1"/>
  <c r="AE14" i="33"/>
  <c r="KQ18" i="33"/>
  <c r="KO95" i="33" s="1"/>
  <c r="KP18" i="33"/>
  <c r="KM95" i="33" s="1"/>
  <c r="GU34" i="33"/>
  <c r="AP73" i="33"/>
  <c r="GW34" i="33"/>
  <c r="GV34" i="33"/>
  <c r="AY47" i="33"/>
  <c r="AV68" i="33"/>
  <c r="LL15" i="33"/>
  <c r="LI92" i="33" s="1"/>
  <c r="LK15" i="33"/>
  <c r="LG92" i="33" s="1"/>
  <c r="AA67" i="33"/>
  <c r="GG34" i="33"/>
  <c r="GE111" i="33" s="1"/>
  <c r="GF34" i="33"/>
  <c r="GC111" i="33" s="1"/>
  <c r="AS60" i="33"/>
  <c r="AO58" i="33"/>
  <c r="GT19" i="33"/>
  <c r="GS19" i="33"/>
  <c r="GR19" i="33"/>
  <c r="AA63" i="33"/>
  <c r="AS59" i="33"/>
  <c r="HA20" i="33"/>
  <c r="GW97" i="33" s="1"/>
  <c r="HB20" i="33"/>
  <c r="GY97" i="33" s="1"/>
  <c r="GY24" i="33"/>
  <c r="GV101" i="33" s="1"/>
  <c r="GZ101" i="33" s="1"/>
  <c r="GZ24" i="33"/>
  <c r="GX101" i="33" s="1"/>
  <c r="IF24" i="33"/>
  <c r="ID24" i="33"/>
  <c r="IE24" i="33"/>
  <c r="AS63" i="33"/>
  <c r="LE13" i="33"/>
  <c r="LF13" i="33"/>
  <c r="LG13" i="33"/>
  <c r="BB52" i="33"/>
  <c r="KR8" i="33"/>
  <c r="KN85" i="33" s="1"/>
  <c r="KQ85" i="33" s="1"/>
  <c r="KS8" i="33"/>
  <c r="KP85" i="33" s="1"/>
  <c r="BC53" i="33"/>
  <c r="LW14" i="33"/>
  <c r="LU14" i="33"/>
  <c r="LV14" i="33"/>
  <c r="JD25" i="33"/>
  <c r="JA102" i="33" s="1"/>
  <c r="JA115" i="33" s="1"/>
  <c r="JE25" i="33"/>
  <c r="JC102" i="33" s="1"/>
  <c r="M32" i="33"/>
  <c r="N32" i="33"/>
  <c r="O32" i="33"/>
  <c r="V71" i="33"/>
  <c r="IF13" i="33"/>
  <c r="ID13" i="33"/>
  <c r="AS52" i="33"/>
  <c r="IE13" i="33"/>
  <c r="KL26" i="33"/>
  <c r="KL38" i="33" s="1"/>
  <c r="KL39" i="33" s="1"/>
  <c r="AZ65" i="33"/>
  <c r="KM26" i="33"/>
  <c r="KN26" i="33"/>
  <c r="DU37" i="33"/>
  <c r="DT37" i="33"/>
  <c r="DV37" i="33"/>
  <c r="AG76" i="33"/>
  <c r="AQ65" i="33"/>
  <c r="BC7" i="33"/>
  <c r="AZ84" i="33" s="1"/>
  <c r="BD7" i="33"/>
  <c r="BB84" i="33" s="1"/>
  <c r="BD35" i="33"/>
  <c r="BB112" i="33" s="1"/>
  <c r="BC35" i="33"/>
  <c r="AZ112" i="33" s="1"/>
  <c r="Y65" i="33"/>
  <c r="JP33" i="33"/>
  <c r="JQ33" i="33"/>
  <c r="AW72" i="33"/>
  <c r="JR33" i="33"/>
  <c r="BC52" i="33"/>
  <c r="X46" i="33"/>
  <c r="MB28" i="33"/>
  <c r="LY105" i="33" s="1"/>
  <c r="MC28" i="33"/>
  <c r="MA105" i="33" s="1"/>
  <c r="MC105" i="33" s="1"/>
  <c r="W50" i="33"/>
  <c r="IY32" i="33"/>
  <c r="IX32" i="33"/>
  <c r="IW32" i="33"/>
  <c r="AU71" i="33"/>
  <c r="AK66" i="33"/>
  <c r="DC15" i="33"/>
  <c r="AE54" i="33"/>
  <c r="DA15" i="33"/>
  <c r="DB15" i="33"/>
  <c r="IN11" i="33"/>
  <c r="IK88" i="33" s="1"/>
  <c r="IM11" i="33"/>
  <c r="AU75" i="33"/>
  <c r="IW36" i="33"/>
  <c r="IX36" i="33"/>
  <c r="IY36" i="33"/>
  <c r="AO54" i="33"/>
  <c r="GS15" i="33"/>
  <c r="GR15" i="33"/>
  <c r="GR38" i="33" s="1"/>
  <c r="GR39" i="33" s="1"/>
  <c r="GT15" i="33"/>
  <c r="JQ32" i="33"/>
  <c r="AW71" i="33"/>
  <c r="JP32" i="33"/>
  <c r="JR32" i="33"/>
  <c r="LI28" i="33"/>
  <c r="LF105" i="33" s="1"/>
  <c r="LJ105" i="33" s="1"/>
  <c r="LJ28" i="33"/>
  <c r="LH105" i="33" s="1"/>
  <c r="JX37" i="33"/>
  <c r="JV114" i="33" s="1"/>
  <c r="JW37" i="33"/>
  <c r="JT114" i="33" s="1"/>
  <c r="FF36" i="33"/>
  <c r="FH36" i="33"/>
  <c r="FG36" i="33"/>
  <c r="AK75" i="33"/>
  <c r="AF62" i="33"/>
  <c r="AY36" i="33"/>
  <c r="BA36" i="33"/>
  <c r="AZ36" i="33"/>
  <c r="Z75" i="33"/>
  <c r="AU69" i="33"/>
  <c r="JX22" i="33"/>
  <c r="JV99" i="33" s="1"/>
  <c r="JW22" i="33"/>
  <c r="JT99" i="33" s="1"/>
  <c r="JZ36" i="33"/>
  <c r="JW113" i="33" s="1"/>
  <c r="JX113" i="33" s="1"/>
  <c r="JY36" i="33"/>
  <c r="JU113" i="33" s="1"/>
  <c r="LI6" i="33"/>
  <c r="LF83" i="33" s="1"/>
  <c r="LJ83" i="33" s="1"/>
  <c r="LJ6" i="33"/>
  <c r="LH83" i="33" s="1"/>
  <c r="LK33" i="33"/>
  <c r="LG110" i="33" s="1"/>
  <c r="LL33" i="33"/>
  <c r="LI110" i="33" s="1"/>
  <c r="LK7" i="33"/>
  <c r="LG84" i="33" s="1"/>
  <c r="LL7" i="33"/>
  <c r="LI84" i="33" s="1"/>
  <c r="AE59" i="33"/>
  <c r="AP47" i="33"/>
  <c r="JZ23" i="33"/>
  <c r="JW100" i="33" s="1"/>
  <c r="JY23" i="33"/>
  <c r="JU100" i="33" s="1"/>
  <c r="R4" i="33"/>
  <c r="P81" i="33" s="1"/>
  <c r="P38" i="33"/>
  <c r="Q4" i="33"/>
  <c r="N81" i="33" s="1"/>
  <c r="EC20" i="33"/>
  <c r="DY97" i="33" s="1"/>
  <c r="ED20" i="33"/>
  <c r="EA97" i="33" s="1"/>
  <c r="EB97" i="33" s="1"/>
  <c r="AE5" i="33"/>
  <c r="AD5" i="33"/>
  <c r="AD38" i="33" s="1"/>
  <c r="AD39" i="33" s="1"/>
  <c r="W44" i="33"/>
  <c r="AC5" i="33"/>
  <c r="Y55" i="33"/>
  <c r="HP32" i="33"/>
  <c r="AR71" i="33"/>
  <c r="HN32" i="33"/>
  <c r="HO32" i="33"/>
  <c r="AZ44" i="33"/>
  <c r="AR53" i="33"/>
  <c r="HP14" i="33"/>
  <c r="HO14" i="33"/>
  <c r="HN14" i="33"/>
  <c r="AM65" i="33"/>
  <c r="FY26" i="33"/>
  <c r="GA26" i="33"/>
  <c r="FZ26" i="33"/>
  <c r="AW73" i="33"/>
  <c r="GG5" i="33"/>
  <c r="GE82" i="33" s="1"/>
  <c r="GF5" i="33"/>
  <c r="GC82" i="33" s="1"/>
  <c r="AF50" i="33"/>
  <c r="AP74" i="33"/>
  <c r="AC26" i="33"/>
  <c r="AD26" i="33"/>
  <c r="AE26" i="33"/>
  <c r="W65" i="33"/>
  <c r="IX23" i="33"/>
  <c r="IW23" i="33"/>
  <c r="AU62" i="33"/>
  <c r="IY23" i="33"/>
  <c r="AI65" i="33"/>
  <c r="AI77" i="33" s="1"/>
  <c r="AJ78" i="33" s="1"/>
  <c r="AE51" i="33"/>
  <c r="AM60" i="33"/>
  <c r="AM77" i="33" s="1"/>
  <c r="FZ21" i="33"/>
  <c r="FY21" i="33"/>
  <c r="GA21" i="33"/>
  <c r="JD29" i="33"/>
  <c r="JA106" i="33" s="1"/>
  <c r="JE29" i="33"/>
  <c r="JC106" i="33" s="1"/>
  <c r="LB32" i="33"/>
  <c r="LC32" i="33"/>
  <c r="LD32" i="33"/>
  <c r="BA71" i="33"/>
  <c r="DW23" i="33"/>
  <c r="DY23" i="33"/>
  <c r="DX23" i="33"/>
  <c r="AH62" i="33"/>
  <c r="U74" i="33"/>
  <c r="J35" i="33"/>
  <c r="L35" i="33"/>
  <c r="K35" i="33"/>
  <c r="KR28" i="33"/>
  <c r="KN105" i="33" s="1"/>
  <c r="KS28" i="33"/>
  <c r="KP105" i="33" s="1"/>
  <c r="LU6" i="33"/>
  <c r="BC45" i="33"/>
  <c r="LV6" i="33"/>
  <c r="LW6" i="33"/>
  <c r="T31" i="24"/>
  <c r="V31" i="24" s="1"/>
  <c r="U31" i="24"/>
  <c r="AO53" i="33"/>
  <c r="AH45" i="33"/>
  <c r="DY9" i="33"/>
  <c r="DW9" i="33"/>
  <c r="DX9" i="33"/>
  <c r="DX38" i="33" s="1"/>
  <c r="DX39" i="33" s="1"/>
  <c r="AH48" i="33"/>
  <c r="AZ46" i="33"/>
  <c r="JG12" i="33"/>
  <c r="JD89" i="33" s="1"/>
  <c r="JF12" i="33"/>
  <c r="AP76" i="33"/>
  <c r="AE49" i="33"/>
  <c r="HP19" i="33"/>
  <c r="HO19" i="33"/>
  <c r="HN19" i="33"/>
  <c r="AR58" i="33"/>
  <c r="AR77" i="33" s="1"/>
  <c r="AF48" i="33"/>
  <c r="CR16" i="33"/>
  <c r="CO93" i="33" s="1"/>
  <c r="CQ16" i="33"/>
  <c r="CM93" i="33" s="1"/>
  <c r="JB28" i="33"/>
  <c r="IZ28" i="33"/>
  <c r="JA28" i="33"/>
  <c r="AV67" i="33"/>
  <c r="DA29" i="33"/>
  <c r="DB29" i="33"/>
  <c r="DC29" i="33"/>
  <c r="AE68" i="33"/>
  <c r="X64" i="33"/>
  <c r="BD11" i="33"/>
  <c r="BB88" i="33" s="1"/>
  <c r="BB115" i="33" s="1"/>
  <c r="BC11" i="33"/>
  <c r="AZ88" i="33" s="1"/>
  <c r="BD88" i="33" s="1"/>
  <c r="HU14" i="33"/>
  <c r="HR91" i="33" s="1"/>
  <c r="HT14" i="33"/>
  <c r="HP91" i="33" s="1"/>
  <c r="HS91" i="33" s="1"/>
  <c r="U44" i="33"/>
  <c r="BA32" i="33"/>
  <c r="Z71" i="33"/>
  <c r="AZ32" i="33"/>
  <c r="AY32" i="33"/>
  <c r="EW22" i="33"/>
  <c r="ET99" i="33" s="1"/>
  <c r="EU99" i="33" s="1"/>
  <c r="EV22" i="33"/>
  <c r="ER99" i="33" s="1"/>
  <c r="AG75" i="33"/>
  <c r="DD14" i="33"/>
  <c r="DF14" i="33"/>
  <c r="DE14" i="33"/>
  <c r="AF53" i="33"/>
  <c r="Y54" i="33"/>
  <c r="AW15" i="33"/>
  <c r="AW38" i="33" s="1"/>
  <c r="AW39" i="33" s="1"/>
  <c r="AX15" i="33"/>
  <c r="AV15" i="33"/>
  <c r="DD28" i="33"/>
  <c r="DF28" i="33"/>
  <c r="DE28" i="33"/>
  <c r="AF67" i="33"/>
  <c r="EP26" i="33"/>
  <c r="EQ26" i="33"/>
  <c r="EQ38" i="33" s="1"/>
  <c r="EQ39" i="33" s="1"/>
  <c r="ER26" i="33"/>
  <c r="AJ65" i="33"/>
  <c r="S37" i="24"/>
  <c r="S38" i="24"/>
  <c r="S39" i="24" s="1"/>
  <c r="S41" i="24"/>
  <c r="IK10" i="33"/>
  <c r="IH87" i="33" s="1"/>
  <c r="IL10" i="33"/>
  <c r="IJ87" i="33" s="1"/>
  <c r="GZ13" i="33"/>
  <c r="GX90" i="33" s="1"/>
  <c r="GY13" i="33"/>
  <c r="GV90" i="33" s="1"/>
  <c r="AH47" i="33"/>
  <c r="AK50" i="33"/>
  <c r="HB26" i="33"/>
  <c r="GY103" i="33" s="1"/>
  <c r="HA26" i="33"/>
  <c r="GW103" i="33" s="1"/>
  <c r="GZ103" i="33" s="1"/>
  <c r="AI68" i="33"/>
  <c r="AS67" i="33"/>
  <c r="IE28" i="33"/>
  <c r="IE38" i="33" s="1"/>
  <c r="IE39" i="33" s="1"/>
  <c r="IF28" i="33"/>
  <c r="ID28" i="33"/>
  <c r="ID38" i="33" s="1"/>
  <c r="ID39" i="33" s="1"/>
  <c r="FY30" i="33"/>
  <c r="FZ30" i="33"/>
  <c r="GA30" i="33"/>
  <c r="AM69" i="33"/>
  <c r="DJ16" i="33"/>
  <c r="DF93" i="33" s="1"/>
  <c r="DK16" i="33"/>
  <c r="DH93" i="33" s="1"/>
  <c r="DI5" i="33"/>
  <c r="DG82" i="33" s="1"/>
  <c r="DH5" i="33"/>
  <c r="DE82" i="33" s="1"/>
  <c r="DI82" i="33" s="1"/>
  <c r="KJ34" i="33"/>
  <c r="KK34" i="33"/>
  <c r="AY73" i="33"/>
  <c r="KI34" i="33"/>
  <c r="AA47" i="33"/>
  <c r="IK28" i="33"/>
  <c r="IH105" i="33" s="1"/>
  <c r="IH115" i="33" s="1"/>
  <c r="IL28" i="33"/>
  <c r="IJ105" i="33" s="1"/>
  <c r="IM25" i="33"/>
  <c r="II102" i="33" s="1"/>
  <c r="IN25" i="33"/>
  <c r="IK102" i="33" s="1"/>
  <c r="BC61" i="33"/>
  <c r="AJ71" i="33"/>
  <c r="BF18" i="33"/>
  <c r="BC95" i="33" s="1"/>
  <c r="BE18" i="33"/>
  <c r="BA95" i="33" s="1"/>
  <c r="BD95" i="33" s="1"/>
  <c r="AX45" i="33"/>
  <c r="Y50" i="33"/>
  <c r="AX11" i="33"/>
  <c r="AV11" i="33"/>
  <c r="AW11" i="33"/>
  <c r="AH76" i="33"/>
  <c r="U70" i="33"/>
  <c r="DU15" i="33"/>
  <c r="DT15" i="33"/>
  <c r="DT38" i="33" s="1"/>
  <c r="DT39" i="33" s="1"/>
  <c r="DV15" i="33"/>
  <c r="AG54" i="33"/>
  <c r="AE32" i="33"/>
  <c r="AD32" i="33"/>
  <c r="AC32" i="33"/>
  <c r="W71" i="33"/>
  <c r="AL24" i="33"/>
  <c r="AH101" i="33" s="1"/>
  <c r="AM24" i="33"/>
  <c r="AJ101" i="33" s="1"/>
  <c r="AK101" i="33" s="1"/>
  <c r="HM16" i="33"/>
  <c r="HL16" i="33"/>
  <c r="HK16" i="33"/>
  <c r="AQ55" i="33"/>
  <c r="AC43" i="33"/>
  <c r="CI4" i="33"/>
  <c r="CJ4" i="33"/>
  <c r="CH4" i="33"/>
  <c r="CL16" i="33"/>
  <c r="CK16" i="33"/>
  <c r="AD55" i="33"/>
  <c r="CM16" i="33"/>
  <c r="AN57" i="33"/>
  <c r="MD9" i="33"/>
  <c r="LZ86" i="33" s="1"/>
  <c r="ME9" i="33"/>
  <c r="MB86" i="33" s="1"/>
  <c r="BV9" i="33"/>
  <c r="BS86" i="33" s="1"/>
  <c r="BW86" i="33" s="1"/>
  <c r="BW9" i="33"/>
  <c r="BU86" i="33" s="1"/>
  <c r="EU34" i="33"/>
  <c r="ES111" i="33" s="1"/>
  <c r="EU111" i="33" s="1"/>
  <c r="ET34" i="33"/>
  <c r="EQ111" i="33" s="1"/>
  <c r="U18" i="24"/>
  <c r="T18" i="24"/>
  <c r="U59" i="33"/>
  <c r="IZ12" i="33"/>
  <c r="JA12" i="33"/>
  <c r="JB12" i="33"/>
  <c r="AV51" i="33"/>
  <c r="AV77" i="33" s="1"/>
  <c r="AV78" i="33" s="1"/>
  <c r="CK10" i="33"/>
  <c r="AD49" i="33"/>
  <c r="CM10" i="33"/>
  <c r="CL10" i="33"/>
  <c r="AF70" i="33"/>
  <c r="JF19" i="33"/>
  <c r="JB96" i="33" s="1"/>
  <c r="JE96" i="33" s="1"/>
  <c r="JG19" i="33"/>
  <c r="JD96" i="33" s="1"/>
  <c r="JX6" i="33"/>
  <c r="JV83" i="33" s="1"/>
  <c r="JW6" i="33"/>
  <c r="LJ10" i="33"/>
  <c r="LH87" i="33" s="1"/>
  <c r="LI10" i="33"/>
  <c r="LF87" i="33" s="1"/>
  <c r="LJ87" i="33" s="1"/>
  <c r="AD21" i="33"/>
  <c r="AE21" i="33"/>
  <c r="AC21" i="33"/>
  <c r="W60" i="33"/>
  <c r="AX58" i="33"/>
  <c r="AG44" i="33"/>
  <c r="AN76" i="33"/>
  <c r="GC37" i="33"/>
  <c r="GB37" i="33"/>
  <c r="GD37" i="33"/>
  <c r="BO31" i="33"/>
  <c r="BP31" i="33"/>
  <c r="BQ31" i="33"/>
  <c r="AA70" i="33"/>
  <c r="X56" i="33"/>
  <c r="AH17" i="33"/>
  <c r="AF17" i="33"/>
  <c r="AG17" i="33"/>
  <c r="AD30" i="33"/>
  <c r="AC30" i="33"/>
  <c r="AE30" i="33"/>
  <c r="W69" i="33"/>
  <c r="HK31" i="33"/>
  <c r="HL31" i="33"/>
  <c r="HM31" i="33"/>
  <c r="AQ70" i="33"/>
  <c r="U66" i="33"/>
  <c r="IM5" i="33"/>
  <c r="II82" i="33" s="1"/>
  <c r="IN5" i="33"/>
  <c r="IK82" i="33" s="1"/>
  <c r="IL82" i="33" s="1"/>
  <c r="AZ75" i="33"/>
  <c r="BA54" i="33"/>
  <c r="AM61" i="33"/>
  <c r="II34" i="33"/>
  <c r="IG34" i="33"/>
  <c r="AT73" i="33"/>
  <c r="IH34" i="33"/>
  <c r="Y76" i="33"/>
  <c r="AW37" i="33"/>
  <c r="AV37" i="33"/>
  <c r="AX37" i="33"/>
  <c r="KP16" i="33"/>
  <c r="KM93" i="33" s="1"/>
  <c r="KQ16" i="33"/>
  <c r="BO17" i="33"/>
  <c r="BQ17" i="33"/>
  <c r="AA56" i="33"/>
  <c r="BP17" i="33"/>
  <c r="IZ33" i="33"/>
  <c r="AV72" i="33"/>
  <c r="JB33" i="33"/>
  <c r="JA33" i="33"/>
  <c r="ET18" i="33"/>
  <c r="EQ95" i="33" s="1"/>
  <c r="EU95" i="33" s="1"/>
  <c r="EU18" i="33"/>
  <c r="ES95" i="33" s="1"/>
  <c r="T11" i="33"/>
  <c r="Q88" i="33" s="1"/>
  <c r="S11" i="33"/>
  <c r="O88" i="33" s="1"/>
  <c r="BD25" i="33"/>
  <c r="BB102" i="33" s="1"/>
  <c r="BC25" i="33"/>
  <c r="AZ102" i="33" s="1"/>
  <c r="AU51" i="33"/>
  <c r="EC18" i="33"/>
  <c r="DY95" i="33" s="1"/>
  <c r="ED18" i="33"/>
  <c r="EA95" i="33" s="1"/>
  <c r="HA16" i="33"/>
  <c r="GW93" i="33" s="1"/>
  <c r="HB16" i="33"/>
  <c r="GY93" i="33" s="1"/>
  <c r="GY115" i="33" s="1"/>
  <c r="AP68" i="33"/>
  <c r="AU49" i="33"/>
  <c r="LX35" i="33"/>
  <c r="LY35" i="33"/>
  <c r="BD74" i="33"/>
  <c r="LZ35" i="33"/>
  <c r="AR73" i="33"/>
  <c r="AQ52" i="33"/>
  <c r="AQ77" i="33" s="1"/>
  <c r="AR78" i="33" s="1"/>
  <c r="HM13" i="33"/>
  <c r="HL13" i="33"/>
  <c r="HK13" i="33"/>
  <c r="Y75" i="33"/>
  <c r="X75" i="33"/>
  <c r="DK18" i="33"/>
  <c r="DH95" i="33" s="1"/>
  <c r="DI95" i="33" s="1"/>
  <c r="DJ18" i="33"/>
  <c r="DF95" i="33" s="1"/>
  <c r="AX61" i="33"/>
  <c r="FO11" i="33"/>
  <c r="FK88" i="33" s="1"/>
  <c r="FP11" i="33"/>
  <c r="FM88" i="33" s="1"/>
  <c r="BC46" i="33"/>
  <c r="FO17" i="33"/>
  <c r="FK94" i="33" s="1"/>
  <c r="FP17" i="33"/>
  <c r="FM94" i="33" s="1"/>
  <c r="U50" i="33"/>
  <c r="U77" i="33" s="1"/>
  <c r="LD4" i="33"/>
  <c r="BA43" i="33"/>
  <c r="BA77" i="33" s="1"/>
  <c r="LB4" i="33"/>
  <c r="LC4" i="33"/>
  <c r="HB21" i="33"/>
  <c r="GY98" i="33" s="1"/>
  <c r="HA21" i="33"/>
  <c r="GW98" i="33" s="1"/>
  <c r="LI24" i="33"/>
  <c r="LF101" i="33" s="1"/>
  <c r="LJ24" i="33"/>
  <c r="LH101" i="33" s="1"/>
  <c r="AV62" i="33"/>
  <c r="JU25" i="33"/>
  <c r="JT25" i="33"/>
  <c r="JS25" i="33"/>
  <c r="AX64" i="33"/>
  <c r="AJ48" i="33"/>
  <c r="IM29" i="33"/>
  <c r="II106" i="33" s="1"/>
  <c r="IN29" i="33"/>
  <c r="IK106" i="33" s="1"/>
  <c r="AK44" i="33"/>
  <c r="T9" i="33"/>
  <c r="Q86" i="33" s="1"/>
  <c r="S9" i="33"/>
  <c r="O86" i="33" s="1"/>
  <c r="CI9" i="33"/>
  <c r="CH9" i="33"/>
  <c r="CJ9" i="33"/>
  <c r="AC48" i="33"/>
  <c r="AT61" i="33"/>
  <c r="W45" i="33"/>
  <c r="AD70" i="33"/>
  <c r="AV50" i="33"/>
  <c r="AA61" i="33"/>
  <c r="MB24" i="33"/>
  <c r="LY101" i="33" s="1"/>
  <c r="MC24" i="33"/>
  <c r="MA101" i="33" s="1"/>
  <c r="BR26" i="33"/>
  <c r="BS26" i="33"/>
  <c r="BT26" i="33"/>
  <c r="AB65" i="33"/>
  <c r="CR28" i="33"/>
  <c r="CO105" i="33" s="1"/>
  <c r="CQ28" i="33"/>
  <c r="CM105" i="33" s="1"/>
  <c r="CP105" i="33" s="1"/>
  <c r="KS33" i="33"/>
  <c r="KP110" i="33" s="1"/>
  <c r="KR33" i="33"/>
  <c r="KN110" i="33" s="1"/>
  <c r="MB20" i="33"/>
  <c r="LY97" i="33" s="1"/>
  <c r="MC20" i="33"/>
  <c r="MA97" i="33" s="1"/>
  <c r="MA115" i="33" s="1"/>
  <c r="MA116" i="33" s="1"/>
  <c r="AU48" i="33"/>
  <c r="IW9" i="33"/>
  <c r="IY9" i="33"/>
  <c r="IX9" i="33"/>
  <c r="GF18" i="33"/>
  <c r="GC95" i="33" s="1"/>
  <c r="GG18" i="33"/>
  <c r="GE95" i="33" s="1"/>
  <c r="AJ69" i="33"/>
  <c r="BC44" i="33"/>
  <c r="BC77" i="33" s="1"/>
  <c r="LV5" i="33"/>
  <c r="LU5" i="33"/>
  <c r="LW5" i="33"/>
  <c r="GF36" i="33"/>
  <c r="GC113" i="33" s="1"/>
  <c r="GG36" i="33"/>
  <c r="GE113" i="33" s="1"/>
  <c r="AL49" i="33"/>
  <c r="HU26" i="33"/>
  <c r="HR103" i="33" s="1"/>
  <c r="HT26" i="33"/>
  <c r="HP103" i="33" s="1"/>
  <c r="HS103" i="33" s="1"/>
  <c r="N25" i="33"/>
  <c r="O25" i="33"/>
  <c r="V64" i="33"/>
  <c r="M25" i="33"/>
  <c r="EM18" i="33"/>
  <c r="AI57" i="33"/>
  <c r="EN18" i="33"/>
  <c r="EO18" i="33"/>
  <c r="BX37" i="33"/>
  <c r="BT114" i="33" s="1"/>
  <c r="BY37" i="33"/>
  <c r="BV114" i="33" s="1"/>
  <c r="BA20" i="33"/>
  <c r="Z59" i="33"/>
  <c r="AY20" i="33"/>
  <c r="AZ20" i="33"/>
  <c r="JR37" i="33"/>
  <c r="JQ37" i="33"/>
  <c r="JP37" i="33"/>
  <c r="AW76" i="33"/>
  <c r="EC14" i="33"/>
  <c r="DY91" i="33" s="1"/>
  <c r="ED14" i="33"/>
  <c r="EA91" i="33" s="1"/>
  <c r="AJ57" i="33"/>
  <c r="JY13" i="33"/>
  <c r="JU90" i="33" s="1"/>
  <c r="JZ13" i="33"/>
  <c r="JW90" i="33" s="1"/>
  <c r="BY12" i="33"/>
  <c r="BV89" i="33" s="1"/>
  <c r="BX12" i="33"/>
  <c r="BT89" i="33" s="1"/>
  <c r="GU12" i="33"/>
  <c r="AP51" i="33"/>
  <c r="GV12" i="33"/>
  <c r="GW12" i="33"/>
  <c r="GZ19" i="33"/>
  <c r="GX96" i="33" s="1"/>
  <c r="GY19" i="33"/>
  <c r="GV96" i="33" s="1"/>
  <c r="AA58" i="33"/>
  <c r="BC58" i="33"/>
  <c r="T13" i="24"/>
  <c r="V13" i="24" s="1"/>
  <c r="U13" i="24"/>
  <c r="LJ34" i="33"/>
  <c r="LH111" i="33" s="1"/>
  <c r="LI34" i="33"/>
  <c r="LF111" i="33" s="1"/>
  <c r="HU12" i="33"/>
  <c r="HR89" i="33" s="1"/>
  <c r="HT12" i="33"/>
  <c r="HP89" i="33" s="1"/>
  <c r="R8" i="33"/>
  <c r="P85" i="33" s="1"/>
  <c r="Q8" i="33"/>
  <c r="N85" i="33" s="1"/>
  <c r="JP14" i="33"/>
  <c r="JP38" i="33" s="1"/>
  <c r="JP39" i="33" s="1"/>
  <c r="AW53" i="33"/>
  <c r="JR14" i="33"/>
  <c r="JQ14" i="33"/>
  <c r="AZ71" i="33"/>
  <c r="AR68" i="33"/>
  <c r="JF30" i="33"/>
  <c r="JB107" i="33" s="1"/>
  <c r="JE107" i="33" s="1"/>
  <c r="JG30" i="33"/>
  <c r="JD107" i="33" s="1"/>
  <c r="Z46" i="33"/>
  <c r="JP26" i="33"/>
  <c r="AW65" i="33"/>
  <c r="JR26" i="33"/>
  <c r="JQ26" i="33"/>
  <c r="EC27" i="33"/>
  <c r="DY104" i="33" s="1"/>
  <c r="ED27" i="33"/>
  <c r="EA104" i="33" s="1"/>
  <c r="EB104" i="33" s="1"/>
  <c r="AA54" i="33"/>
  <c r="BO15" i="33"/>
  <c r="BO38" i="33" s="1"/>
  <c r="BO39" i="33" s="1"/>
  <c r="BQ15" i="33"/>
  <c r="BP15" i="33"/>
  <c r="L33" i="33"/>
  <c r="J33" i="33"/>
  <c r="U72" i="33"/>
  <c r="K33" i="33"/>
  <c r="AG66" i="33"/>
  <c r="CP11" i="33"/>
  <c r="CP38" i="33" s="1"/>
  <c r="CO11" i="33"/>
  <c r="CL88" i="33" s="1"/>
  <c r="LF17" i="33"/>
  <c r="LG17" i="33"/>
  <c r="LE17" i="33"/>
  <c r="BB56" i="33"/>
  <c r="AW54" i="33"/>
  <c r="L37" i="24"/>
  <c r="L38" i="24"/>
  <c r="L39" i="24" s="1"/>
  <c r="L41" i="24"/>
  <c r="JF17" i="33"/>
  <c r="JB94" i="33" s="1"/>
  <c r="JG17" i="33"/>
  <c r="JD94" i="33" s="1"/>
  <c r="AT52" i="33"/>
  <c r="BV29" i="33"/>
  <c r="BS106" i="33" s="1"/>
  <c r="BW29" i="33"/>
  <c r="BU106" i="33" s="1"/>
  <c r="MB30" i="33"/>
  <c r="LY107" i="33" s="1"/>
  <c r="MC30" i="33"/>
  <c r="MA107" i="33" s="1"/>
  <c r="MC107" i="33" s="1"/>
  <c r="HB25" i="33"/>
  <c r="GY102" i="33" s="1"/>
  <c r="HA25" i="33"/>
  <c r="GW102" i="33" s="1"/>
  <c r="EB33" i="33"/>
  <c r="DZ110" i="33" s="1"/>
  <c r="EA33" i="33"/>
  <c r="DX110" i="33" s="1"/>
  <c r="IW5" i="33"/>
  <c r="AU44" i="33"/>
  <c r="AU77" i="33" s="1"/>
  <c r="IX5" i="33"/>
  <c r="IY5" i="33"/>
  <c r="IE26" i="33"/>
  <c r="IF26" i="33"/>
  <c r="ID26" i="33"/>
  <c r="AS65" i="33"/>
  <c r="LI22" i="33"/>
  <c r="LF99" i="33" s="1"/>
  <c r="LJ22" i="33"/>
  <c r="LH99" i="33" s="1"/>
  <c r="LJ99" i="33" s="1"/>
  <c r="BA56" i="33"/>
  <c r="JX35" i="33"/>
  <c r="JV112" i="33" s="1"/>
  <c r="JX112" i="33" s="1"/>
  <c r="JW35" i="33"/>
  <c r="JT112" i="33" s="1"/>
  <c r="AZ64" i="33"/>
  <c r="LL13" i="33"/>
  <c r="LI90" i="33" s="1"/>
  <c r="LK13" i="33"/>
  <c r="LG90" i="33" s="1"/>
  <c r="AM56" i="33"/>
  <c r="LX23" i="33"/>
  <c r="LZ23" i="33"/>
  <c r="BD62" i="33"/>
  <c r="BD77" i="33" s="1"/>
  <c r="LY23" i="33"/>
  <c r="HO17" i="33"/>
  <c r="HN17" i="33"/>
  <c r="HP17" i="33"/>
  <c r="AR56" i="33"/>
  <c r="FO35" i="33"/>
  <c r="FK112" i="33" s="1"/>
  <c r="FN112" i="33" s="1"/>
  <c r="FP35" i="33"/>
  <c r="FM112" i="33" s="1"/>
  <c r="AG62" i="33"/>
  <c r="X55" i="33"/>
  <c r="DI11" i="33"/>
  <c r="DG88" i="33" s="1"/>
  <c r="DH11" i="33"/>
  <c r="DE88" i="33" s="1"/>
  <c r="FF12" i="33"/>
  <c r="FH12" i="33"/>
  <c r="FG12" i="33"/>
  <c r="AK51" i="33"/>
  <c r="BD71" i="33"/>
  <c r="AT46" i="33"/>
  <c r="IG7" i="33"/>
  <c r="IH7" i="33"/>
  <c r="II7" i="33"/>
  <c r="AU58" i="33"/>
  <c r="IW31" i="33"/>
  <c r="IY31" i="33"/>
  <c r="AU70" i="33"/>
  <c r="IX31" i="33"/>
  <c r="AD64" i="33"/>
  <c r="R26" i="33"/>
  <c r="P103" i="33" s="1"/>
  <c r="Q26" i="33"/>
  <c r="N103" i="33" s="1"/>
  <c r="MD29" i="33"/>
  <c r="LZ106" i="33" s="1"/>
  <c r="ME29" i="33"/>
  <c r="MB106" i="33" s="1"/>
  <c r="Z72" i="33"/>
  <c r="JX14" i="33"/>
  <c r="JV91" i="33" s="1"/>
  <c r="JX91" i="33" s="1"/>
  <c r="JW14" i="33"/>
  <c r="JT91" i="33" s="1"/>
  <c r="U52" i="33"/>
  <c r="HK23" i="33"/>
  <c r="HM23" i="33"/>
  <c r="HL23" i="33"/>
  <c r="AQ62" i="33"/>
  <c r="FM10" i="33"/>
  <c r="FJ87" i="33" s="1"/>
  <c r="FN10" i="33"/>
  <c r="FL87" i="33" s="1"/>
  <c r="FN87" i="33" s="1"/>
  <c r="LZ9" i="33"/>
  <c r="LY9" i="33"/>
  <c r="LX9" i="33"/>
  <c r="LX38" i="33" s="1"/>
  <c r="LX39" i="33" s="1"/>
  <c r="BD48" i="33"/>
  <c r="AW48" i="33"/>
  <c r="AM6" i="33"/>
  <c r="AJ83" i="33" s="1"/>
  <c r="AL6" i="33"/>
  <c r="AH83" i="33" s="1"/>
  <c r="MB26" i="33"/>
  <c r="LY103" i="33" s="1"/>
  <c r="MC26" i="33"/>
  <c r="MA103" i="33" s="1"/>
  <c r="ET14" i="33"/>
  <c r="EQ91" i="33" s="1"/>
  <c r="EU14" i="33"/>
  <c r="ES91" i="33" s="1"/>
  <c r="ES115" i="33" s="1"/>
  <c r="ER35" i="33"/>
  <c r="EQ35" i="33"/>
  <c r="EP35" i="33"/>
  <c r="AJ74" i="33"/>
  <c r="CH13" i="33"/>
  <c r="CJ13" i="33"/>
  <c r="AC52" i="33"/>
  <c r="CI13" i="33"/>
  <c r="AN75" i="33"/>
  <c r="AH74" i="33"/>
  <c r="AV57" i="33"/>
  <c r="T32" i="33"/>
  <c r="Q109" i="33" s="1"/>
  <c r="S32" i="33"/>
  <c r="O109" i="33" s="1"/>
  <c r="AB61" i="33"/>
  <c r="BS22" i="33"/>
  <c r="BT22" i="33"/>
  <c r="BR22" i="33"/>
  <c r="JA24" i="33"/>
  <c r="IZ24" i="33"/>
  <c r="JB24" i="33"/>
  <c r="AV63" i="33"/>
  <c r="AL53" i="33"/>
  <c r="AD48" i="33"/>
  <c r="AE55" i="33"/>
  <c r="BD63" i="33"/>
  <c r="AD74" i="33"/>
  <c r="JT13" i="33"/>
  <c r="JT38" i="33" s="1"/>
  <c r="JT39" i="33" s="1"/>
  <c r="JS13" i="33"/>
  <c r="JS38" i="33" s="1"/>
  <c r="JS39" i="33" s="1"/>
  <c r="JU13" i="33"/>
  <c r="AX52" i="33"/>
  <c r="GG20" i="33"/>
  <c r="GE97" i="33" s="1"/>
  <c r="GF20" i="33"/>
  <c r="GC97" i="33" s="1"/>
  <c r="GG97" i="33" s="1"/>
  <c r="KP7" i="33"/>
  <c r="KM84" i="33" s="1"/>
  <c r="KQ7" i="33"/>
  <c r="KO84" i="33" s="1"/>
  <c r="AP56" i="33"/>
  <c r="Z58" i="33"/>
  <c r="AG43" i="33"/>
  <c r="AG77" i="33" s="1"/>
  <c r="AH78" i="33" s="1"/>
  <c r="DT4" i="33"/>
  <c r="DU4" i="33"/>
  <c r="DV4" i="33"/>
  <c r="AE61" i="33"/>
  <c r="JZ16" i="33"/>
  <c r="JW93" i="33" s="1"/>
  <c r="JY16" i="33"/>
  <c r="JU93" i="33" s="1"/>
  <c r="JX93" i="33" s="1"/>
  <c r="AD16" i="33"/>
  <c r="W55" i="33"/>
  <c r="AC16" i="33"/>
  <c r="AE16" i="33"/>
  <c r="FY23" i="33"/>
  <c r="FZ23" i="33"/>
  <c r="GA23" i="33"/>
  <c r="AM62" i="33"/>
  <c r="BA60" i="33"/>
  <c r="HO10" i="33"/>
  <c r="HP10" i="33"/>
  <c r="HN10" i="33"/>
  <c r="AR49" i="33"/>
  <c r="DJ26" i="33"/>
  <c r="DF103" i="33" s="1"/>
  <c r="DK26" i="33"/>
  <c r="DH103" i="33" s="1"/>
  <c r="U57" i="33"/>
  <c r="JP8" i="33"/>
  <c r="AW47" i="33"/>
  <c r="AW77" i="33" s="1"/>
  <c r="JR8" i="33"/>
  <c r="JQ8" i="33"/>
  <c r="IK4" i="33"/>
  <c r="IH81" i="33" s="1"/>
  <c r="IJ38" i="33"/>
  <c r="IL4" i="33"/>
  <c r="IJ81" i="33" s="1"/>
  <c r="IJ115" i="33" s="1"/>
  <c r="AK74" i="33"/>
  <c r="LU34" i="33"/>
  <c r="LV34" i="33"/>
  <c r="LW34" i="33"/>
  <c r="BC73" i="33"/>
  <c r="AW46" i="33"/>
  <c r="AB75" i="33"/>
  <c r="U23" i="24"/>
  <c r="T23" i="24"/>
  <c r="V23" i="24" s="1"/>
  <c r="AY49" i="33"/>
  <c r="AR70" i="33"/>
  <c r="AH43" i="33"/>
  <c r="KK29" i="33"/>
  <c r="AY68" i="33"/>
  <c r="KJ29" i="33"/>
  <c r="KI29" i="33"/>
  <c r="JZ5" i="33"/>
  <c r="JW82" i="33" s="1"/>
  <c r="JY5" i="33"/>
  <c r="JU82" i="33" s="1"/>
  <c r="BR34" i="33"/>
  <c r="AB73" i="33"/>
  <c r="BT34" i="33"/>
  <c r="BS34" i="33"/>
  <c r="W66" i="33"/>
  <c r="DH37" i="33"/>
  <c r="DE114" i="33" s="1"/>
  <c r="DI37" i="33"/>
  <c r="DG114" i="33" s="1"/>
  <c r="DG115" i="33" s="1"/>
  <c r="AN60" i="33"/>
  <c r="FN16" i="33"/>
  <c r="FL93" i="33" s="1"/>
  <c r="FN93" i="33" s="1"/>
  <c r="FM16" i="33"/>
  <c r="FJ93" i="33" s="1"/>
  <c r="AC67" i="33"/>
  <c r="BY14" i="33"/>
  <c r="BV91" i="33" s="1"/>
  <c r="BX14" i="33"/>
  <c r="BT91" i="33" s="1"/>
  <c r="BD45" i="33"/>
  <c r="AG67" i="33"/>
  <c r="DT28" i="33"/>
  <c r="DV28" i="33"/>
  <c r="DU28" i="33"/>
  <c r="HP81" i="33"/>
  <c r="GI38" i="33"/>
  <c r="FP38" i="33"/>
  <c r="BF38" i="33"/>
  <c r="GG38" i="33"/>
  <c r="KO93" i="33"/>
  <c r="JT83" i="33"/>
  <c r="JT115" i="33" s="1"/>
  <c r="JW38" i="33"/>
  <c r="GG111" i="33"/>
  <c r="BD112" i="33"/>
  <c r="HS89" i="33"/>
  <c r="LU38" i="33"/>
  <c r="LU39" i="33" s="1"/>
  <c r="CO115" i="33"/>
  <c r="P115" i="33"/>
  <c r="JE108" i="33"/>
  <c r="JB89" i="33"/>
  <c r="MC87" i="33"/>
  <c r="GV115" i="33"/>
  <c r="GV116" i="33" s="1"/>
  <c r="CP108" i="33"/>
  <c r="HS98" i="33"/>
  <c r="AH85" i="33"/>
  <c r="V36" i="24"/>
  <c r="AY77" i="33"/>
  <c r="LG82" i="33"/>
  <c r="LK38" i="33"/>
  <c r="EA84" i="33"/>
  <c r="BR38" i="33"/>
  <c r="BR39" i="33" s="1"/>
  <c r="FN105" i="33"/>
  <c r="HS96" i="33"/>
  <c r="BS88" i="33"/>
  <c r="GB38" i="33"/>
  <c r="GB39" i="33" s="1"/>
  <c r="AA77" i="33"/>
  <c r="V20" i="24"/>
  <c r="GY38" i="33"/>
  <c r="R85" i="33"/>
  <c r="FN90" i="33"/>
  <c r="AK104" i="33"/>
  <c r="EB93" i="33"/>
  <c r="MC93" i="33"/>
  <c r="AP77" i="33"/>
  <c r="AJ38" i="33"/>
  <c r="CM115" i="33"/>
  <c r="AZ81" i="33"/>
  <c r="DF83" i="33"/>
  <c r="DJ38" i="33"/>
  <c r="KQ105" i="33"/>
  <c r="AJ86" i="33"/>
  <c r="AJ115" i="33" s="1"/>
  <c r="BY38" i="33"/>
  <c r="JD115" i="33"/>
  <c r="LY38" i="33"/>
  <c r="LY39" i="33" s="1"/>
  <c r="BT101" i="33"/>
  <c r="BW81" i="33"/>
  <c r="GZ97" i="33"/>
  <c r="IL102" i="33"/>
  <c r="R106" i="33"/>
  <c r="DH81" i="33"/>
  <c r="HS38" i="33"/>
  <c r="BE38" i="33"/>
  <c r="HU38" i="33"/>
  <c r="CR38" i="33"/>
  <c r="KI38" i="33"/>
  <c r="KI39" i="33" s="1"/>
  <c r="BD90" i="33"/>
  <c r="GH38" i="33"/>
  <c r="HA38" i="33"/>
  <c r="V29" i="24"/>
  <c r="FN111" i="33"/>
  <c r="BW112" i="33"/>
  <c r="R83" i="33"/>
  <c r="AG115" i="33"/>
  <c r="DI113" i="33"/>
  <c r="JX92" i="33"/>
  <c r="BW104" i="33"/>
  <c r="EU102" i="33"/>
  <c r="KQ82" i="33"/>
  <c r="JD38" i="33"/>
  <c r="MC38" i="33"/>
  <c r="BW106" i="33"/>
  <c r="AH77" i="33"/>
  <c r="FN94" i="33"/>
  <c r="LJ84" i="33"/>
  <c r="JE91" i="33"/>
  <c r="AK112" i="33"/>
  <c r="AK98" i="33"/>
  <c r="BC115" i="33"/>
  <c r="IG38" i="33"/>
  <c r="IG39" i="33" s="1"/>
  <c r="CP104" i="33"/>
  <c r="JE97" i="33"/>
  <c r="CP102" i="33"/>
  <c r="MC111" i="33"/>
  <c r="FL103" i="33"/>
  <c r="CN88" i="33"/>
  <c r="GC93" i="33"/>
  <c r="GC115" i="33" s="1"/>
  <c r="GF38" i="33"/>
  <c r="BW107" i="33"/>
  <c r="KN115" i="33"/>
  <c r="DI100" i="33"/>
  <c r="GZ94" i="33"/>
  <c r="EB96" i="33"/>
  <c r="DI99" i="33"/>
  <c r="DI96" i="33"/>
  <c r="MC102" i="33"/>
  <c r="IL89" i="33"/>
  <c r="CP107" i="33"/>
  <c r="Q39" i="24"/>
  <c r="BD87" i="33"/>
  <c r="BW108" i="33"/>
  <c r="BD100" i="33"/>
  <c r="MC103" i="33"/>
  <c r="EB102" i="33"/>
  <c r="I39" i="24"/>
  <c r="K39" i="24"/>
  <c r="GZ102" i="33"/>
  <c r="LJ101" i="33"/>
  <c r="IL107" i="33"/>
  <c r="BW91" i="33"/>
  <c r="KQ102" i="33"/>
  <c r="GZ91" i="33"/>
  <c r="V17" i="24"/>
  <c r="R101" i="33"/>
  <c r="GZ82" i="33"/>
  <c r="FN107" i="33"/>
  <c r="JE109" i="33"/>
  <c r="GZ83" i="33"/>
  <c r="JX98" i="33"/>
  <c r="FN88" i="33"/>
  <c r="JE88" i="33"/>
  <c r="BW102" i="33"/>
  <c r="KQ99" i="33"/>
  <c r="CP84" i="33"/>
  <c r="HS104" i="33"/>
  <c r="EB109" i="33"/>
  <c r="R94" i="33"/>
  <c r="HS97" i="33"/>
  <c r="JE93" i="33"/>
  <c r="FN84" i="33"/>
  <c r="KQ101" i="33"/>
  <c r="LJ110" i="33"/>
  <c r="GG85" i="33"/>
  <c r="KQ104" i="33"/>
  <c r="JX103" i="33"/>
  <c r="V32" i="24"/>
  <c r="HS100" i="33"/>
  <c r="BT115" i="33"/>
  <c r="II88" i="33"/>
  <c r="AI115" i="33"/>
  <c r="EA38" i="33"/>
  <c r="JE110" i="33"/>
  <c r="GW115" i="33"/>
  <c r="DI112" i="33"/>
  <c r="GC38" i="33"/>
  <c r="GC39" i="33" s="1"/>
  <c r="BW96" i="33"/>
  <c r="IL83" i="33"/>
  <c r="EB106" i="33"/>
  <c r="LJ108" i="33"/>
  <c r="MC94" i="33"/>
  <c r="LJ86" i="33"/>
  <c r="CP96" i="33"/>
  <c r="R39" i="24"/>
  <c r="GZ114" i="33"/>
  <c r="CP98" i="33"/>
  <c r="JE100" i="33"/>
  <c r="KQ98" i="33"/>
  <c r="JE83" i="33"/>
  <c r="BD98" i="33"/>
  <c r="FN91" i="33"/>
  <c r="BD86" i="33"/>
  <c r="BW95" i="33"/>
  <c r="CP89" i="33"/>
  <c r="CP83" i="33"/>
  <c r="BW84" i="33"/>
  <c r="EU84" i="33"/>
  <c r="EU87" i="33"/>
  <c r="IL84" i="33"/>
  <c r="JX86" i="33"/>
  <c r="JX97" i="33"/>
  <c r="EU90" i="33"/>
  <c r="P39" i="24"/>
  <c r="JE99" i="33"/>
  <c r="DI86" i="33"/>
  <c r="EB113" i="33"/>
  <c r="FN114" i="33"/>
  <c r="LJ38" i="33"/>
  <c r="CP101" i="33"/>
  <c r="R103" i="33"/>
  <c r="CP93" i="33"/>
  <c r="LJ90" i="33"/>
  <c r="EB100" i="33"/>
  <c r="MC81" i="33"/>
  <c r="IL114" i="33"/>
  <c r="IL86" i="33"/>
  <c r="GZ111" i="33"/>
  <c r="KQ107" i="33"/>
  <c r="EB105" i="33"/>
  <c r="AK82" i="33"/>
  <c r="AK103" i="33"/>
  <c r="EU86" i="33"/>
  <c r="LJ113" i="33"/>
  <c r="EB84" i="33"/>
  <c r="DI89" i="33"/>
  <c r="EB86" i="33"/>
  <c r="DI98" i="33"/>
  <c r="CP106" i="33"/>
  <c r="GG105" i="33"/>
  <c r="BW97" i="33"/>
  <c r="BW110" i="33"/>
  <c r="CP111" i="33"/>
  <c r="EU108" i="33"/>
  <c r="GZ81" i="33"/>
  <c r="AK102" i="33"/>
  <c r="FN86" i="33"/>
  <c r="LJ85" i="33"/>
  <c r="MC90" i="33"/>
  <c r="F39" i="24"/>
  <c r="R98" i="33"/>
  <c r="HS101" i="33"/>
  <c r="DI81" i="33"/>
  <c r="FN85" i="33"/>
  <c r="JX105" i="33"/>
  <c r="DI91" i="33"/>
  <c r="GZ106" i="33"/>
  <c r="IL93" i="33"/>
  <c r="AK106" i="33"/>
  <c r="IL100" i="33"/>
  <c r="V24" i="24"/>
  <c r="FN109" i="33"/>
  <c r="JE114" i="33"/>
  <c r="GG102" i="33"/>
  <c r="JX99" i="33"/>
  <c r="IL94" i="33"/>
  <c r="JX108" i="33"/>
  <c r="EB92" i="33"/>
  <c r="CP114" i="33"/>
  <c r="FN89" i="33"/>
  <c r="AK107" i="33"/>
  <c r="HS86" i="33"/>
  <c r="GG83" i="33"/>
  <c r="EB108" i="33"/>
  <c r="HS90" i="33"/>
  <c r="V3" i="24"/>
  <c r="EU98" i="33"/>
  <c r="LE38" i="33"/>
  <c r="LE39" i="33" s="1"/>
  <c r="BD103" i="33"/>
  <c r="FN99" i="33"/>
  <c r="AK114" i="33"/>
  <c r="IL104" i="33"/>
  <c r="JE104" i="33"/>
  <c r="ER81" i="33"/>
  <c r="ER115" i="33" s="1"/>
  <c r="EV38" i="33"/>
  <c r="GG86" i="33"/>
  <c r="AK81" i="33"/>
  <c r="EU104" i="33"/>
  <c r="GG109" i="33"/>
  <c r="BD38" i="33"/>
  <c r="GG95" i="33"/>
  <c r="KQ109" i="33"/>
  <c r="EU82" i="33"/>
  <c r="JX96" i="33"/>
  <c r="DI92" i="33"/>
  <c r="BW111" i="33"/>
  <c r="GG89" i="33"/>
  <c r="JX84" i="33"/>
  <c r="BD93" i="33"/>
  <c r="KQ94" i="33"/>
  <c r="GG101" i="33"/>
  <c r="JX101" i="33"/>
  <c r="AK109" i="33"/>
  <c r="FN95" i="33"/>
  <c r="GG90" i="33"/>
  <c r="AK105" i="33"/>
  <c r="V6" i="24"/>
  <c r="BW85" i="33"/>
  <c r="JX88" i="33"/>
  <c r="IL112" i="33"/>
  <c r="C39" i="24"/>
  <c r="AK97" i="33"/>
  <c r="FN97" i="33"/>
  <c r="FN102" i="33"/>
  <c r="JE112" i="33"/>
  <c r="MC91" i="33"/>
  <c r="CP87" i="33"/>
  <c r="HS99" i="33"/>
  <c r="GG103" i="33"/>
  <c r="R96" i="33"/>
  <c r="MC84" i="33"/>
  <c r="EU109" i="33"/>
  <c r="JX102" i="33"/>
  <c r="LJ95" i="33"/>
  <c r="G39" i="24"/>
  <c r="AK96" i="33"/>
  <c r="LJ107" i="33"/>
  <c r="DI109" i="33"/>
  <c r="GG98" i="33"/>
  <c r="BD107" i="33"/>
  <c r="JG38" i="33"/>
  <c r="MC101" i="33"/>
  <c r="BW101" i="33"/>
  <c r="MC85" i="33"/>
  <c r="R81" i="33"/>
  <c r="EU96" i="33"/>
  <c r="BD104" i="33"/>
  <c r="BW94" i="33"/>
  <c r="BD89" i="33"/>
  <c r="CP99" i="33"/>
  <c r="KQ106" i="33"/>
  <c r="KQ90" i="33"/>
  <c r="JX106" i="33"/>
  <c r="V25" i="24"/>
  <c r="FN108" i="33"/>
  <c r="BD97" i="33"/>
  <c r="BD94" i="33"/>
  <c r="DI85" i="33"/>
  <c r="EB114" i="33"/>
  <c r="V12" i="24"/>
  <c r="MC106" i="33"/>
  <c r="KQ110" i="33"/>
  <c r="DI88" i="33"/>
  <c r="EB94" i="33"/>
  <c r="GG107" i="33"/>
  <c r="BD113" i="33"/>
  <c r="BD102" i="33"/>
  <c r="JX111" i="33"/>
  <c r="MC112" i="33"/>
  <c r="BW87" i="33"/>
  <c r="IL96" i="33"/>
  <c r="CP82" i="33"/>
  <c r="BB116" i="33"/>
  <c r="BA115" i="33"/>
  <c r="BD82" i="33"/>
  <c r="DZ115" i="33"/>
  <c r="EB81" i="33"/>
  <c r="GG81" i="33"/>
  <c r="GE115" i="33"/>
  <c r="GG82" i="33"/>
  <c r="EU81" i="33"/>
  <c r="R82" i="33"/>
  <c r="P239" i="1"/>
  <c r="K15" i="3"/>
  <c r="N152" i="1"/>
  <c r="X11" i="3"/>
  <c r="L152" i="1"/>
  <c r="W11" i="3"/>
  <c r="R152" i="1"/>
  <c r="Z11" i="3"/>
  <c r="V152" i="1"/>
  <c r="AB11" i="3"/>
  <c r="V11" i="3"/>
  <c r="P152" i="1"/>
  <c r="T152" i="1"/>
  <c r="AA11" i="3"/>
  <c r="J12" i="3"/>
  <c r="N194" i="1"/>
  <c r="T224" i="1"/>
  <c r="M14" i="3"/>
  <c r="I12" i="3"/>
  <c r="N180" i="1"/>
  <c r="T180" i="1"/>
  <c r="L194" i="1"/>
  <c r="P195" i="1" s="1"/>
  <c r="R180" i="1"/>
  <c r="V180" i="1"/>
  <c r="J180" i="1"/>
  <c r="N12" i="3"/>
  <c r="V194" i="1"/>
  <c r="L12" i="3"/>
  <c r="R194" i="1"/>
  <c r="J152" i="1"/>
  <c r="H12" i="3"/>
  <c r="J194" i="1"/>
  <c r="AN78" i="33" l="1"/>
  <c r="AT78" i="33"/>
  <c r="BD78" i="33"/>
  <c r="IL81" i="33"/>
  <c r="HO38" i="33"/>
  <c r="HO39" i="33" s="1"/>
  <c r="M38" i="33"/>
  <c r="M39" i="33" s="1"/>
  <c r="FG38" i="33"/>
  <c r="FG39" i="33" s="1"/>
  <c r="E51" i="33" s="1"/>
  <c r="W77" i="33"/>
  <c r="HR115" i="33"/>
  <c r="KM38" i="33"/>
  <c r="KM39" i="33" s="1"/>
  <c r="E58" i="33" s="1"/>
  <c r="LY82" i="33"/>
  <c r="MB38" i="33"/>
  <c r="ET115" i="33"/>
  <c r="ES116" i="33" s="1"/>
  <c r="FN38" i="33"/>
  <c r="JX38" i="33"/>
  <c r="KR38" i="33"/>
  <c r="AM38" i="33"/>
  <c r="EU38" i="33"/>
  <c r="ME38" i="33"/>
  <c r="FM115" i="33"/>
  <c r="KQ38" i="33"/>
  <c r="BW38" i="33"/>
  <c r="JX82" i="33"/>
  <c r="R109" i="33"/>
  <c r="AK83" i="33"/>
  <c r="IX38" i="33"/>
  <c r="IX39" i="33" s="1"/>
  <c r="N115" i="33"/>
  <c r="BW89" i="33"/>
  <c r="BW114" i="33"/>
  <c r="LV38" i="33"/>
  <c r="LV39" i="33" s="1"/>
  <c r="E60" i="33" s="1"/>
  <c r="IL105" i="33"/>
  <c r="GZ90" i="33"/>
  <c r="JE102" i="33"/>
  <c r="FN83" i="33"/>
  <c r="BD96" i="33"/>
  <c r="IL90" i="33"/>
  <c r="IL99" i="33"/>
  <c r="GZ86" i="33"/>
  <c r="Z77" i="33"/>
  <c r="R105" i="33"/>
  <c r="FY38" i="33"/>
  <c r="FY39" i="33" s="1"/>
  <c r="HS105" i="33"/>
  <c r="HL38" i="33"/>
  <c r="HL39" i="33" s="1"/>
  <c r="JX94" i="33"/>
  <c r="BP38" i="33"/>
  <c r="BP39" i="33" s="1"/>
  <c r="HS94" i="33"/>
  <c r="KQ96" i="33"/>
  <c r="AK99" i="33"/>
  <c r="AK93" i="33"/>
  <c r="DI110" i="33"/>
  <c r="GZ112" i="33"/>
  <c r="BU115" i="33"/>
  <c r="BU116" i="33" s="1"/>
  <c r="DA38" i="33"/>
  <c r="DA39" i="33" s="1"/>
  <c r="E48" i="33" s="1"/>
  <c r="V30" i="24"/>
  <c r="AE77" i="33"/>
  <c r="AF78" i="33" s="1"/>
  <c r="V7" i="24"/>
  <c r="HS110" i="33"/>
  <c r="GG99" i="33"/>
  <c r="AD77" i="33"/>
  <c r="HS112" i="33"/>
  <c r="V26" i="24"/>
  <c r="IL110" i="33"/>
  <c r="EP38" i="33"/>
  <c r="EP39" i="33" s="1"/>
  <c r="BD92" i="33"/>
  <c r="R84" i="33"/>
  <c r="KQ88" i="33"/>
  <c r="KS38" i="33"/>
  <c r="KP115" i="33"/>
  <c r="X77" i="33"/>
  <c r="LI115" i="33"/>
  <c r="LH116" i="33" s="1"/>
  <c r="HK38" i="33"/>
  <c r="HK39" i="33" s="1"/>
  <c r="JW115" i="33"/>
  <c r="CK38" i="33"/>
  <c r="CK39" i="33" s="1"/>
  <c r="IZ38" i="33"/>
  <c r="IZ39" i="33" s="1"/>
  <c r="LZ115" i="33"/>
  <c r="T37" i="24"/>
  <c r="JE113" i="33"/>
  <c r="GZ89" i="33"/>
  <c r="HN38" i="33"/>
  <c r="HN39" i="33" s="1"/>
  <c r="JE84" i="33"/>
  <c r="DY82" i="33"/>
  <c r="EC38" i="33"/>
  <c r="GG84" i="33"/>
  <c r="CP113" i="33"/>
  <c r="MC99" i="33"/>
  <c r="AF38" i="33"/>
  <c r="AF39" i="33" s="1"/>
  <c r="E44" i="33" s="1"/>
  <c r="F44" i="33" s="1"/>
  <c r="G44" i="33" s="1"/>
  <c r="H44" i="33" s="1"/>
  <c r="HS109" i="33"/>
  <c r="R113" i="33"/>
  <c r="GG108" i="33"/>
  <c r="DU38" i="33"/>
  <c r="DU39" i="33" s="1"/>
  <c r="E49" i="33" s="1"/>
  <c r="F49" i="33" s="1"/>
  <c r="G49" i="33" s="1"/>
  <c r="H49" i="33" s="1"/>
  <c r="JE38" i="33"/>
  <c r="D56" i="33" s="1"/>
  <c r="DH38" i="33"/>
  <c r="DI38" i="33"/>
  <c r="IK38" i="33"/>
  <c r="AK38" i="33"/>
  <c r="ED38" i="33"/>
  <c r="AH115" i="33"/>
  <c r="AG116" i="33" s="1"/>
  <c r="JF38" i="33"/>
  <c r="IL38" i="33"/>
  <c r="HO115" i="33"/>
  <c r="DI114" i="33"/>
  <c r="MC97" i="33"/>
  <c r="IL106" i="33"/>
  <c r="EB95" i="33"/>
  <c r="AG38" i="33"/>
  <c r="AG39" i="33" s="1"/>
  <c r="DI93" i="33"/>
  <c r="LJ89" i="33"/>
  <c r="MC100" i="33"/>
  <c r="BW93" i="33"/>
  <c r="GG94" i="33"/>
  <c r="BW109" i="33"/>
  <c r="N38" i="33"/>
  <c r="N39" i="33" s="1"/>
  <c r="JE111" i="33"/>
  <c r="LF38" i="33"/>
  <c r="LF39" i="33" s="1"/>
  <c r="V10" i="24"/>
  <c r="FN106" i="33"/>
  <c r="FZ38" i="33"/>
  <c r="FZ39" i="33" s="1"/>
  <c r="DI97" i="33"/>
  <c r="AO77" i="33"/>
  <c r="AP78" i="33" s="1"/>
  <c r="BD111" i="33"/>
  <c r="JE87" i="33"/>
  <c r="GS38" i="33"/>
  <c r="GS39" i="33" s="1"/>
  <c r="E53" i="33" s="1"/>
  <c r="BB77" i="33"/>
  <c r="BB78" i="33" s="1"/>
  <c r="AB77" i="33"/>
  <c r="AB78" i="33" s="1"/>
  <c r="CL38" i="33"/>
  <c r="CL39" i="33" s="1"/>
  <c r="AZ77" i="33"/>
  <c r="AZ78" i="33" s="1"/>
  <c r="U38" i="24"/>
  <c r="AX77" i="33"/>
  <c r="AX78" i="33" s="1"/>
  <c r="GZ88" i="33"/>
  <c r="GD115" i="33"/>
  <c r="GC116" i="33" s="1"/>
  <c r="LI38" i="33"/>
  <c r="HR38" i="33"/>
  <c r="DK38" i="33"/>
  <c r="BX38" i="33"/>
  <c r="EB38" i="33"/>
  <c r="D49" i="33" s="1"/>
  <c r="S38" i="33"/>
  <c r="BV38" i="33"/>
  <c r="D46" i="33" s="1"/>
  <c r="EA115" i="33"/>
  <c r="DZ116" i="33" s="1"/>
  <c r="ET38" i="33"/>
  <c r="DI103" i="33"/>
  <c r="KQ84" i="33"/>
  <c r="EB110" i="33"/>
  <c r="GZ96" i="33"/>
  <c r="JX90" i="33"/>
  <c r="GZ98" i="33"/>
  <c r="MC86" i="33"/>
  <c r="IL87" i="33"/>
  <c r="JE106" i="33"/>
  <c r="R100" i="33"/>
  <c r="IL103" i="33"/>
  <c r="BW83" i="33"/>
  <c r="EU105" i="33"/>
  <c r="AK90" i="33"/>
  <c r="Y77" i="33"/>
  <c r="Z78" i="33" s="1"/>
  <c r="AK88" i="33"/>
  <c r="V4" i="24"/>
  <c r="DI105" i="33"/>
  <c r="R107" i="33"/>
  <c r="BS38" i="33"/>
  <c r="BS39" i="33" s="1"/>
  <c r="E46" i="33" s="1"/>
  <c r="F46" i="33" s="1"/>
  <c r="G46" i="33" s="1"/>
  <c r="H46" i="33" s="1"/>
  <c r="MC92" i="33"/>
  <c r="FN82" i="33"/>
  <c r="EB107" i="33"/>
  <c r="BD109" i="33"/>
  <c r="IL108" i="33"/>
  <c r="V22" i="24"/>
  <c r="V34" i="24"/>
  <c r="KQ114" i="33"/>
  <c r="GZ113" i="33"/>
  <c r="BW90" i="33"/>
  <c r="KQ108" i="33"/>
  <c r="AK111" i="33"/>
  <c r="HS107" i="33"/>
  <c r="BD101" i="33"/>
  <c r="LJ100" i="33"/>
  <c r="KQ91" i="33"/>
  <c r="FN92" i="33"/>
  <c r="JE82" i="33"/>
  <c r="GZ85" i="33"/>
  <c r="JE85" i="33"/>
  <c r="DI102" i="33"/>
  <c r="DE38" i="33"/>
  <c r="DE39" i="33" s="1"/>
  <c r="BD114" i="33"/>
  <c r="EB112" i="33"/>
  <c r="CL115" i="33"/>
  <c r="CL116" i="33" s="1"/>
  <c r="JX85" i="33"/>
  <c r="EU94" i="33"/>
  <c r="FJ81" i="33"/>
  <c r="FM38" i="33"/>
  <c r="FN110" i="33"/>
  <c r="GZ99" i="33"/>
  <c r="IM38" i="33"/>
  <c r="IN38" i="33"/>
  <c r="D52" i="33"/>
  <c r="CO38" i="33"/>
  <c r="D47" i="33" s="1"/>
  <c r="IK115" i="33"/>
  <c r="DH115" i="33"/>
  <c r="DG116" i="33" s="1"/>
  <c r="FO38" i="33"/>
  <c r="MD38" i="33"/>
  <c r="EQ115" i="33"/>
  <c r="EQ116" i="33" s="1"/>
  <c r="KM115" i="33"/>
  <c r="KM116" i="33" s="1"/>
  <c r="HT38" i="33"/>
  <c r="IH38" i="33"/>
  <c r="IH39" i="33" s="1"/>
  <c r="E55" i="33" s="1"/>
  <c r="CH38" i="33"/>
  <c r="CH39" i="33" s="1"/>
  <c r="E47" i="33" s="1"/>
  <c r="AC77" i="33"/>
  <c r="AD78" i="33" s="1"/>
  <c r="K38" i="33"/>
  <c r="K39" i="33" s="1"/>
  <c r="E43" i="33" s="1"/>
  <c r="EM38" i="33"/>
  <c r="EM39" i="33" s="1"/>
  <c r="E50" i="33" s="1"/>
  <c r="JE81" i="33"/>
  <c r="JX81" i="33"/>
  <c r="JX115" i="33" s="1"/>
  <c r="JX116" i="33" s="1"/>
  <c r="AK87" i="33"/>
  <c r="KQ112" i="33"/>
  <c r="FN101" i="33"/>
  <c r="BW82" i="33"/>
  <c r="O39" i="24"/>
  <c r="Q115" i="33"/>
  <c r="P116" i="33" s="1"/>
  <c r="GF115" i="33"/>
  <c r="GE116" i="33" s="1"/>
  <c r="V77" i="33"/>
  <c r="V78" i="33" s="1"/>
  <c r="IL109" i="33"/>
  <c r="E52" i="33"/>
  <c r="AL38" i="33"/>
  <c r="D44" i="33" s="1"/>
  <c r="EW38" i="33"/>
  <c r="DE115" i="33"/>
  <c r="JY38" i="33"/>
  <c r="GZ93" i="33"/>
  <c r="R38" i="33"/>
  <c r="BC38" i="33"/>
  <c r="KP38" i="33"/>
  <c r="JQ38" i="33"/>
  <c r="JQ39" i="33" s="1"/>
  <c r="E57" i="33" s="1"/>
  <c r="EU91" i="33"/>
  <c r="JE94" i="33"/>
  <c r="LJ111" i="33"/>
  <c r="GV38" i="33"/>
  <c r="GV39" i="33" s="1"/>
  <c r="GG113" i="33"/>
  <c r="CI38" i="33"/>
  <c r="CI39" i="33" s="1"/>
  <c r="LC38" i="33"/>
  <c r="LC39" i="33" s="1"/>
  <c r="V18" i="24"/>
  <c r="BW105" i="33"/>
  <c r="AV38" i="33"/>
  <c r="AV39" i="33" s="1"/>
  <c r="E45" i="33" s="1"/>
  <c r="HQ115" i="33"/>
  <c r="HQ116" i="33" s="1"/>
  <c r="J39" i="24"/>
  <c r="JA38" i="33"/>
  <c r="JA39" i="33" s="1"/>
  <c r="GZ87" i="33"/>
  <c r="DI111" i="33"/>
  <c r="V19" i="24"/>
  <c r="IW38" i="33"/>
  <c r="IW39" i="33" s="1"/>
  <c r="E56" i="33" s="1"/>
  <c r="EN38" i="33"/>
  <c r="EN39" i="33" s="1"/>
  <c r="Z11" i="24"/>
  <c r="B39" i="24"/>
  <c r="AK95" i="33"/>
  <c r="GZ95" i="33"/>
  <c r="CP94" i="33"/>
  <c r="BD99" i="33"/>
  <c r="DI90" i="33"/>
  <c r="GG110" i="33"/>
  <c r="V33" i="24"/>
  <c r="LJ97" i="33"/>
  <c r="JV115" i="33"/>
  <c r="JV116" i="33" s="1"/>
  <c r="D54" i="33"/>
  <c r="T38" i="33"/>
  <c r="JX83" i="33"/>
  <c r="O115" i="33"/>
  <c r="N116" i="33" s="1"/>
  <c r="AK85" i="33"/>
  <c r="LL38" i="33"/>
  <c r="D59" i="33" s="1"/>
  <c r="JZ38" i="33"/>
  <c r="CQ38" i="33"/>
  <c r="GZ38" i="33"/>
  <c r="D53" i="33" s="1"/>
  <c r="Q38" i="33"/>
  <c r="JU115" i="33"/>
  <c r="JT116" i="33" s="1"/>
  <c r="LJ98" i="33"/>
  <c r="HB38" i="33"/>
  <c r="EB91" i="33"/>
  <c r="R86" i="33"/>
  <c r="R115" i="33" s="1"/>
  <c r="R116" i="33" s="1"/>
  <c r="LB38" i="33"/>
  <c r="LB39" i="33" s="1"/>
  <c r="E59" i="33" s="1"/>
  <c r="R88" i="33"/>
  <c r="JX100" i="33"/>
  <c r="JX114" i="33"/>
  <c r="BD84" i="33"/>
  <c r="LJ92" i="33"/>
  <c r="KQ95" i="33"/>
  <c r="HS82" i="33"/>
  <c r="CP86" i="33"/>
  <c r="BW99" i="33"/>
  <c r="BW103" i="33"/>
  <c r="EU106" i="33"/>
  <c r="AK94" i="33"/>
  <c r="IL92" i="33"/>
  <c r="DI87" i="33"/>
  <c r="GZ100" i="33"/>
  <c r="LJ81" i="33"/>
  <c r="V11" i="24"/>
  <c r="KQ111" i="33"/>
  <c r="LJ104" i="33"/>
  <c r="DX115" i="33"/>
  <c r="EB99" i="33"/>
  <c r="LF115" i="33"/>
  <c r="KQ86" i="33"/>
  <c r="FN104" i="33"/>
  <c r="FK115" i="33"/>
  <c r="KQ92" i="33"/>
  <c r="HS92" i="33"/>
  <c r="V35" i="24"/>
  <c r="V5" i="24"/>
  <c r="GG106" i="33"/>
  <c r="GZ84" i="33"/>
  <c r="GZ115" i="33" s="1"/>
  <c r="GZ116" i="33" s="1"/>
  <c r="GZ92" i="33"/>
  <c r="EB83" i="33"/>
  <c r="MC96" i="33"/>
  <c r="KQ100" i="33"/>
  <c r="HS85" i="33"/>
  <c r="CP85" i="33"/>
  <c r="JE90" i="33"/>
  <c r="EU97" i="33"/>
  <c r="FN98" i="33"/>
  <c r="DD38" i="33"/>
  <c r="DD39" i="33" s="1"/>
  <c r="HS102" i="33"/>
  <c r="HS87" i="33"/>
  <c r="R110" i="33"/>
  <c r="JX109" i="33"/>
  <c r="DI84" i="33"/>
  <c r="FJ38" i="33"/>
  <c r="FJ39" i="33" s="1"/>
  <c r="LJ96" i="33"/>
  <c r="LJ114" i="33"/>
  <c r="EU93" i="33"/>
  <c r="AK86" i="33"/>
  <c r="AK115" i="33" s="1"/>
  <c r="AK116" i="33" s="1"/>
  <c r="JB115" i="33"/>
  <c r="JA116" i="33" s="1"/>
  <c r="JE89" i="33"/>
  <c r="JE115" i="33" s="1"/>
  <c r="JE116" i="33" s="1"/>
  <c r="IJ116" i="33"/>
  <c r="AI116" i="33"/>
  <c r="DI83" i="33"/>
  <c r="DI115" i="33" s="1"/>
  <c r="DI116" i="33" s="1"/>
  <c r="DF115" i="33"/>
  <c r="DE116" i="33" s="1"/>
  <c r="BW88" i="33"/>
  <c r="BS115" i="33"/>
  <c r="BS116" i="33" s="1"/>
  <c r="LG115" i="33"/>
  <c r="LF116" i="33" s="1"/>
  <c r="LJ82" i="33"/>
  <c r="HS81" i="33"/>
  <c r="HP115" i="33"/>
  <c r="HO116" i="33" s="1"/>
  <c r="V39" i="24"/>
  <c r="KO115" i="33"/>
  <c r="KO116" i="33" s="1"/>
  <c r="KQ93" i="33"/>
  <c r="D45" i="33"/>
  <c r="BD81" i="33"/>
  <c r="BD115" i="33" s="1"/>
  <c r="BD116" i="33" s="1"/>
  <c r="AZ115" i="33"/>
  <c r="AZ116" i="33" s="1"/>
  <c r="GG93" i="33"/>
  <c r="CN115" i="33"/>
  <c r="CN116" i="33" s="1"/>
  <c r="CP88" i="33"/>
  <c r="CP115" i="33" s="1"/>
  <c r="CP116" i="33" s="1"/>
  <c r="FN103" i="33"/>
  <c r="FL115" i="33"/>
  <c r="FL116" i="33" s="1"/>
  <c r="EU115" i="33"/>
  <c r="EU116" i="33" s="1"/>
  <c r="II115" i="33"/>
  <c r="IH116" i="33" s="1"/>
  <c r="IL88" i="33"/>
  <c r="IL115" i="33"/>
  <c r="IL116" i="33" s="1"/>
  <c r="F47" i="33"/>
  <c r="G47" i="33" s="1"/>
  <c r="H47" i="33" s="1"/>
  <c r="I46" i="33"/>
  <c r="I54" i="33"/>
  <c r="I45" i="33"/>
  <c r="I44" i="33"/>
  <c r="K44" i="33" s="1"/>
  <c r="L44" i="33" s="1"/>
  <c r="M44" i="33" s="1"/>
  <c r="I47" i="33"/>
  <c r="K47" i="33" s="1"/>
  <c r="L47" i="33" s="1"/>
  <c r="M47" i="33" s="1"/>
  <c r="I49" i="33"/>
  <c r="K49" i="33" s="1"/>
  <c r="L49" i="33" s="1"/>
  <c r="M49" i="33" s="1"/>
  <c r="I52" i="33"/>
  <c r="F52" i="33"/>
  <c r="G52" i="33" s="1"/>
  <c r="H52" i="33" s="1"/>
  <c r="L167" i="1"/>
  <c r="W12" i="3"/>
  <c r="N167" i="1"/>
  <c r="X12" i="3"/>
  <c r="R167" i="1"/>
  <c r="V167" i="1"/>
  <c r="AB12" i="3"/>
  <c r="P254" i="1"/>
  <c r="K16" i="3"/>
  <c r="V12" i="3"/>
  <c r="P167" i="1"/>
  <c r="T167" i="1"/>
  <c r="AA12" i="3"/>
  <c r="V209" i="1"/>
  <c r="N13" i="3"/>
  <c r="Z12" i="3"/>
  <c r="J167" i="1"/>
  <c r="J13" i="3"/>
  <c r="N209" i="1"/>
  <c r="N195" i="1"/>
  <c r="I13" i="3"/>
  <c r="T195" i="1"/>
  <c r="L209" i="1"/>
  <c r="P210" i="1" s="1"/>
  <c r="R195" i="1"/>
  <c r="J195" i="1"/>
  <c r="V195" i="1"/>
  <c r="T239" i="1"/>
  <c r="M15" i="3"/>
  <c r="R209" i="1"/>
  <c r="L13" i="3"/>
  <c r="J209" i="1"/>
  <c r="H13" i="3"/>
  <c r="I56" i="33" l="1"/>
  <c r="F56" i="33"/>
  <c r="G56" i="33" s="1"/>
  <c r="H56" i="33" s="1"/>
  <c r="F59" i="33"/>
  <c r="G59" i="33" s="1"/>
  <c r="H59" i="33" s="1"/>
  <c r="I59" i="33"/>
  <c r="F53" i="33"/>
  <c r="G53" i="33" s="1"/>
  <c r="H53" i="33" s="1"/>
  <c r="I53" i="33"/>
  <c r="K53" i="33" s="1"/>
  <c r="L53" i="33" s="1"/>
  <c r="M53" i="33" s="1"/>
  <c r="LJ115" i="33"/>
  <c r="LJ116" i="33" s="1"/>
  <c r="AB39" i="24"/>
  <c r="AA39" i="24"/>
  <c r="DY115" i="33"/>
  <c r="EB82" i="33"/>
  <c r="EB115" i="33" s="1"/>
  <c r="EB116" i="33" s="1"/>
  <c r="D60" i="33"/>
  <c r="D55" i="33"/>
  <c r="D50" i="33"/>
  <c r="GG115" i="33"/>
  <c r="GG116" i="33" s="1"/>
  <c r="KQ115" i="33"/>
  <c r="KQ116" i="33" s="1"/>
  <c r="BW115" i="33"/>
  <c r="BW116" i="33" s="1"/>
  <c r="DX116" i="33"/>
  <c r="E54" i="33"/>
  <c r="F54" i="33" s="1"/>
  <c r="G54" i="33" s="1"/>
  <c r="H54" i="33" s="1"/>
  <c r="MC82" i="33"/>
  <c r="MC115" i="33" s="1"/>
  <c r="MC116" i="33" s="1"/>
  <c r="LY115" i="33"/>
  <c r="LY116" i="33" s="1"/>
  <c r="D48" i="33"/>
  <c r="D43" i="33"/>
  <c r="FJ115" i="33"/>
  <c r="FJ116" i="33" s="1"/>
  <c r="FN81" i="33"/>
  <c r="FN115" i="33" s="1"/>
  <c r="FN116" i="33" s="1"/>
  <c r="D57" i="33"/>
  <c r="F45" i="33"/>
  <c r="G45" i="33" s="1"/>
  <c r="H45" i="33" s="1"/>
  <c r="HS115" i="33"/>
  <c r="HS116" i="33" s="1"/>
  <c r="D58" i="33"/>
  <c r="D51" i="33"/>
  <c r="X78" i="33"/>
  <c r="K59" i="33"/>
  <c r="L59" i="33" s="1"/>
  <c r="M59" i="33" s="1"/>
  <c r="K56" i="33"/>
  <c r="L56" i="33" s="1"/>
  <c r="M56" i="33" s="1"/>
  <c r="K54" i="33"/>
  <c r="L54" i="33" s="1"/>
  <c r="M54" i="33" s="1"/>
  <c r="K46" i="33"/>
  <c r="L46" i="33" s="1"/>
  <c r="M46" i="33" s="1"/>
  <c r="K52" i="33"/>
  <c r="L52" i="33" s="1"/>
  <c r="M52" i="33" s="1"/>
  <c r="K45" i="33"/>
  <c r="L45" i="33" s="1"/>
  <c r="M45" i="33" s="1"/>
  <c r="L182" i="1"/>
  <c r="W13" i="3"/>
  <c r="AB13" i="3"/>
  <c r="Z13" i="3"/>
  <c r="V13" i="3"/>
  <c r="P182" i="1"/>
  <c r="T182" i="1"/>
  <c r="AA13" i="3"/>
  <c r="P269" i="1"/>
  <c r="K17" i="3"/>
  <c r="N182" i="1"/>
  <c r="X13" i="3"/>
  <c r="H14" i="3"/>
  <c r="J224" i="1"/>
  <c r="N224" i="1"/>
  <c r="J14" i="3"/>
  <c r="J182" i="1"/>
  <c r="R182" i="1"/>
  <c r="V182" i="1"/>
  <c r="T254" i="1"/>
  <c r="M16" i="3"/>
  <c r="L14" i="3"/>
  <c r="R224" i="1"/>
  <c r="T210" i="1"/>
  <c r="L224" i="1"/>
  <c r="P225" i="1" s="1"/>
  <c r="N210" i="1"/>
  <c r="R210" i="1"/>
  <c r="I14" i="3"/>
  <c r="V210" i="1"/>
  <c r="J210" i="1"/>
  <c r="N14" i="3"/>
  <c r="V224" i="1"/>
  <c r="I43" i="33" l="1"/>
  <c r="K43" i="33" s="1"/>
  <c r="L43" i="33" s="1"/>
  <c r="M43" i="33" s="1"/>
  <c r="F43" i="33"/>
  <c r="G43" i="33" s="1"/>
  <c r="H43" i="33" s="1"/>
  <c r="H61" i="33" s="1"/>
  <c r="I55" i="33"/>
  <c r="K55" i="33" s="1"/>
  <c r="L55" i="33" s="1"/>
  <c r="M55" i="33" s="1"/>
  <c r="F55" i="33"/>
  <c r="G55" i="33" s="1"/>
  <c r="H55" i="33" s="1"/>
  <c r="I51" i="33"/>
  <c r="K51" i="33" s="1"/>
  <c r="L51" i="33" s="1"/>
  <c r="M51" i="33" s="1"/>
  <c r="F51" i="33"/>
  <c r="G51" i="33" s="1"/>
  <c r="H51" i="33" s="1"/>
  <c r="F50" i="33"/>
  <c r="G50" i="33" s="1"/>
  <c r="H50" i="33" s="1"/>
  <c r="I50" i="33"/>
  <c r="K50" i="33" s="1"/>
  <c r="L50" i="33" s="1"/>
  <c r="M50" i="33" s="1"/>
  <c r="F60" i="33"/>
  <c r="G60" i="33" s="1"/>
  <c r="H60" i="33" s="1"/>
  <c r="I60" i="33"/>
  <c r="K60" i="33" s="1"/>
  <c r="L60" i="33" s="1"/>
  <c r="M60" i="33" s="1"/>
  <c r="I48" i="33"/>
  <c r="K48" i="33" s="1"/>
  <c r="L48" i="33" s="1"/>
  <c r="M48" i="33" s="1"/>
  <c r="F48" i="33"/>
  <c r="G48" i="33" s="1"/>
  <c r="H48" i="33" s="1"/>
  <c r="F58" i="33"/>
  <c r="G58" i="33" s="1"/>
  <c r="H58" i="33" s="1"/>
  <c r="I58" i="33"/>
  <c r="K58" i="33" s="1"/>
  <c r="L58" i="33" s="1"/>
  <c r="M58" i="33" s="1"/>
  <c r="F57" i="33"/>
  <c r="G57" i="33" s="1"/>
  <c r="H57" i="33" s="1"/>
  <c r="I57" i="33"/>
  <c r="K57" i="33" s="1"/>
  <c r="L57" i="33" s="1"/>
  <c r="M57" i="33" s="1"/>
  <c r="M61" i="33"/>
  <c r="R197" i="1"/>
  <c r="Z14" i="3"/>
  <c r="N197" i="1"/>
  <c r="X14" i="3"/>
  <c r="V197" i="1"/>
  <c r="AB14" i="3"/>
  <c r="L197" i="1"/>
  <c r="W14" i="3"/>
  <c r="V14" i="3"/>
  <c r="P197" i="1"/>
  <c r="T197" i="1"/>
  <c r="AA14" i="3"/>
  <c r="P284" i="1"/>
  <c r="K18" i="3"/>
  <c r="R239" i="1"/>
  <c r="L15" i="3"/>
  <c r="J15" i="3"/>
  <c r="N239" i="1"/>
  <c r="J239" i="1"/>
  <c r="H15" i="3"/>
  <c r="T269" i="1"/>
  <c r="M17" i="3"/>
  <c r="L239" i="1"/>
  <c r="P240" i="1" s="1"/>
  <c r="R225" i="1"/>
  <c r="I15" i="3"/>
  <c r="T225" i="1"/>
  <c r="N225" i="1"/>
  <c r="J225" i="1"/>
  <c r="V225" i="1"/>
  <c r="J197" i="1"/>
  <c r="N15" i="3"/>
  <c r="V239" i="1"/>
  <c r="P299" i="1" l="1"/>
  <c r="K19" i="3"/>
  <c r="N212" i="1"/>
  <c r="X15" i="3"/>
  <c r="R212" i="1"/>
  <c r="Z15" i="3"/>
  <c r="V212" i="1"/>
  <c r="AB15" i="3"/>
  <c r="L212" i="1"/>
  <c r="W15" i="3"/>
  <c r="V15" i="3"/>
  <c r="P212" i="1"/>
  <c r="T212" i="1"/>
  <c r="AA15" i="3"/>
  <c r="T284" i="1"/>
  <c r="M18" i="3"/>
  <c r="J254" i="1"/>
  <c r="H16" i="3"/>
  <c r="J212" i="1"/>
  <c r="J16" i="3"/>
  <c r="N254" i="1"/>
  <c r="V254" i="1"/>
  <c r="N16" i="3"/>
  <c r="I16" i="3"/>
  <c r="T240" i="1"/>
  <c r="L254" i="1"/>
  <c r="P255" i="1" s="1"/>
  <c r="N240" i="1"/>
  <c r="R240" i="1"/>
  <c r="J240" i="1"/>
  <c r="V240" i="1"/>
  <c r="R254" i="1"/>
  <c r="L16" i="3"/>
  <c r="R227" i="1" l="1"/>
  <c r="Z16" i="3"/>
  <c r="L227" i="1"/>
  <c r="W16" i="3"/>
  <c r="V16" i="3"/>
  <c r="P227" i="1"/>
  <c r="T227" i="1"/>
  <c r="AA16" i="3"/>
  <c r="V227" i="1"/>
  <c r="AB16" i="3"/>
  <c r="N227" i="1"/>
  <c r="X16" i="3"/>
  <c r="P314" i="1"/>
  <c r="K20" i="3"/>
  <c r="J227" i="1"/>
  <c r="N269" i="1"/>
  <c r="J17" i="3"/>
  <c r="H17" i="3"/>
  <c r="J269" i="1"/>
  <c r="M19" i="3"/>
  <c r="T299" i="1"/>
  <c r="L17" i="3"/>
  <c r="R269" i="1"/>
  <c r="I17" i="3"/>
  <c r="L269" i="1"/>
  <c r="P270" i="1" s="1"/>
  <c r="T255" i="1"/>
  <c r="N255" i="1"/>
  <c r="R255" i="1"/>
  <c r="V255" i="1"/>
  <c r="J255" i="1"/>
  <c r="N17" i="3"/>
  <c r="V269" i="1"/>
  <c r="V17" i="3" l="1"/>
  <c r="P242" i="1"/>
  <c r="T242" i="1"/>
  <c r="AA17" i="3"/>
  <c r="N242" i="1"/>
  <c r="X17" i="3"/>
  <c r="L242" i="1"/>
  <c r="W17" i="3"/>
  <c r="P329" i="1"/>
  <c r="K21" i="3"/>
  <c r="AB17" i="3"/>
  <c r="Z17" i="3"/>
  <c r="T314" i="1"/>
  <c r="M20" i="3"/>
  <c r="V284" i="1"/>
  <c r="N18" i="3"/>
  <c r="N284" i="1"/>
  <c r="J18" i="3"/>
  <c r="R270" i="1"/>
  <c r="L18" i="3"/>
  <c r="R284" i="1"/>
  <c r="J284" i="1"/>
  <c r="H18" i="3"/>
  <c r="R242" i="1"/>
  <c r="V242" i="1"/>
  <c r="L284" i="1"/>
  <c r="P285" i="1" s="1"/>
  <c r="I18" i="3"/>
  <c r="N270" i="1"/>
  <c r="T270" i="1"/>
  <c r="V270" i="1"/>
  <c r="J270" i="1"/>
  <c r="J242" i="1"/>
  <c r="N257" i="1" l="1"/>
  <c r="X18" i="3"/>
  <c r="P344" i="1"/>
  <c r="K22" i="3"/>
  <c r="Z18" i="3"/>
  <c r="V257" i="1"/>
  <c r="AB18" i="3"/>
  <c r="L257" i="1"/>
  <c r="W18" i="3"/>
  <c r="V18" i="3"/>
  <c r="P257" i="1"/>
  <c r="AA18" i="3"/>
  <c r="T257" i="1"/>
  <c r="N299" i="1"/>
  <c r="J19" i="3"/>
  <c r="N19" i="3"/>
  <c r="V299" i="1"/>
  <c r="R257" i="1"/>
  <c r="J257" i="1"/>
  <c r="L299" i="1"/>
  <c r="P300" i="1" s="1"/>
  <c r="I19" i="3"/>
  <c r="N285" i="1"/>
  <c r="T285" i="1"/>
  <c r="R285" i="1"/>
  <c r="J285" i="1"/>
  <c r="V285" i="1"/>
  <c r="R299" i="1"/>
  <c r="L19" i="3"/>
  <c r="M21" i="3"/>
  <c r="T329" i="1"/>
  <c r="J299" i="1"/>
  <c r="H19" i="3"/>
  <c r="R272" i="1" l="1"/>
  <c r="P359" i="1"/>
  <c r="K23" i="3"/>
  <c r="V19" i="3"/>
  <c r="P272" i="1"/>
  <c r="T272" i="1"/>
  <c r="AA19" i="3"/>
  <c r="N272" i="1"/>
  <c r="X19" i="3"/>
  <c r="L272" i="1"/>
  <c r="W19" i="3"/>
  <c r="V272" i="1"/>
  <c r="AB19" i="3"/>
  <c r="T300" i="1"/>
  <c r="N300" i="1"/>
  <c r="L314" i="1"/>
  <c r="P315" i="1" s="1"/>
  <c r="I20" i="3"/>
  <c r="R300" i="1"/>
  <c r="J300" i="1"/>
  <c r="V300" i="1"/>
  <c r="H20" i="3"/>
  <c r="J314" i="1"/>
  <c r="M22" i="3"/>
  <c r="T344" i="1"/>
  <c r="Z19" i="3"/>
  <c r="J272" i="1"/>
  <c r="L20" i="3"/>
  <c r="R314" i="1"/>
  <c r="N20" i="3"/>
  <c r="V314" i="1"/>
  <c r="J20" i="3"/>
  <c r="N314" i="1"/>
  <c r="V20" i="3" l="1"/>
  <c r="P287" i="1"/>
  <c r="T287" i="1"/>
  <c r="AA20" i="3"/>
  <c r="L287" i="1"/>
  <c r="W20" i="3"/>
  <c r="R287" i="1"/>
  <c r="Z20" i="3"/>
  <c r="N287" i="1"/>
  <c r="X20" i="3"/>
  <c r="V287" i="1"/>
  <c r="AB20" i="3"/>
  <c r="P374" i="1"/>
  <c r="K24" i="3"/>
  <c r="N21" i="3"/>
  <c r="V329" i="1"/>
  <c r="R329" i="1"/>
  <c r="L21" i="3"/>
  <c r="H21" i="3"/>
  <c r="J329" i="1"/>
  <c r="L329" i="1"/>
  <c r="P330" i="1" s="1"/>
  <c r="N315" i="1"/>
  <c r="R315" i="1"/>
  <c r="T315" i="1"/>
  <c r="I21" i="3"/>
  <c r="V315" i="1"/>
  <c r="J315" i="1"/>
  <c r="J21" i="3"/>
  <c r="N329" i="1"/>
  <c r="M23" i="3"/>
  <c r="T359" i="1"/>
  <c r="J287" i="1"/>
  <c r="R302" i="1" l="1"/>
  <c r="Z21" i="3"/>
  <c r="N302" i="1"/>
  <c r="X21" i="3"/>
  <c r="L302" i="1"/>
  <c r="W21" i="3"/>
  <c r="V21" i="3"/>
  <c r="P302" i="1"/>
  <c r="T302" i="1"/>
  <c r="AA21" i="3"/>
  <c r="P389" i="1"/>
  <c r="K25" i="3"/>
  <c r="V302" i="1"/>
  <c r="AB21" i="3"/>
  <c r="H22" i="3"/>
  <c r="J344" i="1"/>
  <c r="L344" i="1"/>
  <c r="P345" i="1" s="1"/>
  <c r="T330" i="1"/>
  <c r="N330" i="1"/>
  <c r="I22" i="3"/>
  <c r="R330" i="1"/>
  <c r="V330" i="1"/>
  <c r="J330" i="1"/>
  <c r="M24" i="3"/>
  <c r="T374" i="1"/>
  <c r="J302" i="1"/>
  <c r="J22" i="3"/>
  <c r="N344" i="1"/>
  <c r="R344" i="1"/>
  <c r="L22" i="3"/>
  <c r="N22" i="3"/>
  <c r="V344" i="1"/>
  <c r="V317" i="1" l="1"/>
  <c r="AB22" i="3"/>
  <c r="V22" i="3"/>
  <c r="P317" i="1"/>
  <c r="T317" i="1"/>
  <c r="AA22" i="3"/>
  <c r="P404" i="1"/>
  <c r="K26" i="3"/>
  <c r="N317" i="1"/>
  <c r="X22" i="3"/>
  <c r="Z22" i="3"/>
  <c r="L317" i="1"/>
  <c r="W22" i="3"/>
  <c r="R359" i="1"/>
  <c r="L23" i="3"/>
  <c r="T389" i="1"/>
  <c r="M25" i="3"/>
  <c r="H23" i="3"/>
  <c r="J359" i="1"/>
  <c r="T345" i="1"/>
  <c r="I23" i="3"/>
  <c r="N345" i="1"/>
  <c r="L359" i="1"/>
  <c r="P360" i="1" s="1"/>
  <c r="R345" i="1"/>
  <c r="J345" i="1"/>
  <c r="V345" i="1"/>
  <c r="J23" i="3"/>
  <c r="N359" i="1"/>
  <c r="R317" i="1"/>
  <c r="J317" i="1"/>
  <c r="N23" i="3"/>
  <c r="V359" i="1"/>
  <c r="L332" i="1" l="1"/>
  <c r="W23" i="3"/>
  <c r="V23" i="3"/>
  <c r="P332" i="1"/>
  <c r="T332" i="1"/>
  <c r="AA23" i="3"/>
  <c r="N332" i="1"/>
  <c r="X23" i="3"/>
  <c r="V332" i="1"/>
  <c r="AB23" i="3"/>
  <c r="R332" i="1"/>
  <c r="Z23" i="3"/>
  <c r="P419" i="1"/>
  <c r="K27" i="3"/>
  <c r="J332" i="1"/>
  <c r="R360" i="1"/>
  <c r="N360" i="1"/>
  <c r="T360" i="1"/>
  <c r="I24" i="3"/>
  <c r="L374" i="1"/>
  <c r="P375" i="1" s="1"/>
  <c r="V360" i="1"/>
  <c r="J360" i="1"/>
  <c r="T404" i="1"/>
  <c r="M26" i="3"/>
  <c r="V374" i="1"/>
  <c r="N24" i="3"/>
  <c r="N374" i="1"/>
  <c r="J24" i="3"/>
  <c r="H24" i="3"/>
  <c r="J374" i="1"/>
  <c r="L24" i="3"/>
  <c r="R374" i="1"/>
  <c r="Z24" i="3" l="1"/>
  <c r="AB24" i="3"/>
  <c r="N347" i="1"/>
  <c r="X24" i="3"/>
  <c r="L347" i="1"/>
  <c r="W24" i="3"/>
  <c r="P434" i="1"/>
  <c r="K28" i="3"/>
  <c r="V24" i="3"/>
  <c r="P347" i="1"/>
  <c r="T347" i="1"/>
  <c r="AA24" i="3"/>
  <c r="R375" i="1"/>
  <c r="R389" i="1"/>
  <c r="L25" i="3"/>
  <c r="R347" i="1"/>
  <c r="V347" i="1"/>
  <c r="L389" i="1"/>
  <c r="P390" i="1" s="1"/>
  <c r="I25" i="3"/>
  <c r="N375" i="1"/>
  <c r="T375" i="1"/>
  <c r="J375" i="1"/>
  <c r="V375" i="1"/>
  <c r="J389" i="1"/>
  <c r="H25" i="3"/>
  <c r="N25" i="3"/>
  <c r="V389" i="1"/>
  <c r="T419" i="1"/>
  <c r="M27" i="3"/>
  <c r="J347" i="1"/>
  <c r="J25" i="3"/>
  <c r="N389" i="1"/>
  <c r="V25" i="3" l="1"/>
  <c r="P362" i="1"/>
  <c r="T362" i="1"/>
  <c r="AA25" i="3"/>
  <c r="R362" i="1"/>
  <c r="L362" i="1"/>
  <c r="W25" i="3"/>
  <c r="N362" i="1"/>
  <c r="X25" i="3"/>
  <c r="V362" i="1"/>
  <c r="AB25" i="3"/>
  <c r="P449" i="1"/>
  <c r="K29" i="3"/>
  <c r="M28" i="3"/>
  <c r="T434" i="1"/>
  <c r="J362" i="1"/>
  <c r="V404" i="1"/>
  <c r="N26" i="3"/>
  <c r="H26" i="3"/>
  <c r="J404" i="1"/>
  <c r="L26" i="3"/>
  <c r="R404" i="1"/>
  <c r="N404" i="1"/>
  <c r="J26" i="3"/>
  <c r="N390" i="1"/>
  <c r="I26" i="3"/>
  <c r="L404" i="1"/>
  <c r="P405" i="1" s="1"/>
  <c r="T390" i="1"/>
  <c r="R390" i="1"/>
  <c r="V390" i="1"/>
  <c r="J390" i="1"/>
  <c r="N377" i="1" l="1"/>
  <c r="X26" i="3"/>
  <c r="V26" i="3"/>
  <c r="P377" i="1"/>
  <c r="T377" i="1"/>
  <c r="AA26" i="3"/>
  <c r="P464" i="1"/>
  <c r="K30" i="3"/>
  <c r="L377" i="1"/>
  <c r="R377" i="1"/>
  <c r="Z26" i="3"/>
  <c r="V377" i="1"/>
  <c r="AB26" i="3"/>
  <c r="I27" i="3"/>
  <c r="N405" i="1"/>
  <c r="L419" i="1"/>
  <c r="P420" i="1" s="1"/>
  <c r="T405" i="1"/>
  <c r="R405" i="1"/>
  <c r="V405" i="1"/>
  <c r="J405" i="1"/>
  <c r="R419" i="1"/>
  <c r="L27" i="3"/>
  <c r="N419" i="1"/>
  <c r="J27" i="3"/>
  <c r="T449" i="1"/>
  <c r="M29" i="3"/>
  <c r="H27" i="3"/>
  <c r="J419" i="1"/>
  <c r="N27" i="3"/>
  <c r="V419" i="1"/>
  <c r="J377" i="1"/>
  <c r="N392" i="1" l="1"/>
  <c r="X27" i="3"/>
  <c r="V27" i="3"/>
  <c r="P392" i="1"/>
  <c r="T392" i="1"/>
  <c r="AA27" i="3"/>
  <c r="L392" i="1"/>
  <c r="W27" i="3"/>
  <c r="P479" i="1"/>
  <c r="K31" i="3"/>
  <c r="V392" i="1"/>
  <c r="AB27" i="3"/>
  <c r="R392" i="1"/>
  <c r="Z27" i="3"/>
  <c r="J392" i="1"/>
  <c r="T464" i="1"/>
  <c r="M30" i="3"/>
  <c r="R434" i="1"/>
  <c r="L28" i="3"/>
  <c r="I28" i="3"/>
  <c r="R420" i="1"/>
  <c r="L434" i="1"/>
  <c r="P435" i="1" s="1"/>
  <c r="N420" i="1"/>
  <c r="T420" i="1"/>
  <c r="J420" i="1"/>
  <c r="V420" i="1"/>
  <c r="V434" i="1"/>
  <c r="N28" i="3"/>
  <c r="H28" i="3"/>
  <c r="J434" i="1"/>
  <c r="N434" i="1"/>
  <c r="J28" i="3"/>
  <c r="Z28" i="3" l="1"/>
  <c r="V407" i="1"/>
  <c r="AB28" i="3"/>
  <c r="N407" i="1"/>
  <c r="X28" i="3"/>
  <c r="V28" i="3"/>
  <c r="P407" i="1"/>
  <c r="T407" i="1"/>
  <c r="AA28" i="3"/>
  <c r="L407" i="1"/>
  <c r="W28" i="3"/>
  <c r="P494" i="1"/>
  <c r="K32" i="3"/>
  <c r="T479" i="1"/>
  <c r="M31" i="3"/>
  <c r="R407" i="1"/>
  <c r="J407" i="1"/>
  <c r="N449" i="1"/>
  <c r="J29" i="3"/>
  <c r="N29" i="3"/>
  <c r="V449" i="1"/>
  <c r="J449" i="1"/>
  <c r="H29" i="3"/>
  <c r="I29" i="3"/>
  <c r="N435" i="1"/>
  <c r="L449" i="1"/>
  <c r="P450" i="1" s="1"/>
  <c r="T435" i="1"/>
  <c r="R435" i="1"/>
  <c r="V435" i="1"/>
  <c r="J435" i="1"/>
  <c r="L29" i="3"/>
  <c r="R449" i="1"/>
  <c r="V422" i="1" l="1"/>
  <c r="AB29" i="3"/>
  <c r="N422" i="1"/>
  <c r="X29" i="3"/>
  <c r="L422" i="1"/>
  <c r="W29" i="3"/>
  <c r="V29" i="3"/>
  <c r="P422" i="1"/>
  <c r="T422" i="1"/>
  <c r="AA29" i="3"/>
  <c r="R422" i="1"/>
  <c r="Z29" i="3"/>
  <c r="P509" i="1"/>
  <c r="K33" i="3"/>
  <c r="R464" i="1"/>
  <c r="L30" i="3"/>
  <c r="L464" i="1"/>
  <c r="P465" i="1" s="1"/>
  <c r="N450" i="1"/>
  <c r="T450" i="1"/>
  <c r="I30" i="3"/>
  <c r="R450" i="1"/>
  <c r="V450" i="1"/>
  <c r="J450" i="1"/>
  <c r="J30" i="3"/>
  <c r="N464" i="1"/>
  <c r="V464" i="1"/>
  <c r="N30" i="3"/>
  <c r="J422" i="1"/>
  <c r="T494" i="1"/>
  <c r="M32" i="3"/>
  <c r="J464" i="1"/>
  <c r="H30" i="3"/>
  <c r="V437" i="1" l="1"/>
  <c r="AB30" i="3"/>
  <c r="N437" i="1"/>
  <c r="X30" i="3"/>
  <c r="R437" i="1"/>
  <c r="Z30" i="3"/>
  <c r="L437" i="1"/>
  <c r="W30" i="3"/>
  <c r="K34" i="3"/>
  <c r="V30" i="3"/>
  <c r="P437" i="1"/>
  <c r="T437" i="1"/>
  <c r="AA30" i="3"/>
  <c r="N31" i="3"/>
  <c r="V479" i="1"/>
  <c r="N479" i="1"/>
  <c r="J31" i="3"/>
  <c r="R465" i="1"/>
  <c r="L479" i="1"/>
  <c r="P480" i="1" s="1"/>
  <c r="N465" i="1"/>
  <c r="I31" i="3"/>
  <c r="T465" i="1"/>
  <c r="J465" i="1"/>
  <c r="V465" i="1"/>
  <c r="L31" i="3"/>
  <c r="R479" i="1"/>
  <c r="J437" i="1"/>
  <c r="J479" i="1"/>
  <c r="H31" i="3"/>
  <c r="M33" i="3"/>
  <c r="T509" i="1"/>
  <c r="N452" i="1" l="1"/>
  <c r="X31" i="3"/>
  <c r="V31" i="3"/>
  <c r="P452" i="1"/>
  <c r="T452" i="1"/>
  <c r="AA31" i="3"/>
  <c r="R452" i="1"/>
  <c r="Z31" i="3"/>
  <c r="V452" i="1"/>
  <c r="AB31" i="3"/>
  <c r="L452" i="1"/>
  <c r="W31" i="3"/>
  <c r="M34" i="3"/>
  <c r="H32" i="3"/>
  <c r="J494" i="1"/>
  <c r="R494" i="1"/>
  <c r="L32" i="3"/>
  <c r="J452" i="1"/>
  <c r="N480" i="1"/>
  <c r="L494" i="1"/>
  <c r="P495" i="1" s="1"/>
  <c r="I32" i="3"/>
  <c r="T480" i="1"/>
  <c r="R480" i="1"/>
  <c r="V480" i="1"/>
  <c r="J480" i="1"/>
  <c r="J32" i="3"/>
  <c r="N494" i="1"/>
  <c r="V494" i="1"/>
  <c r="N32" i="3"/>
  <c r="AB32" i="3" l="1"/>
  <c r="Z32" i="3"/>
  <c r="L467" i="1"/>
  <c r="W32" i="3"/>
  <c r="V32" i="3"/>
  <c r="P467" i="1"/>
  <c r="T467" i="1"/>
  <c r="AA32" i="3"/>
  <c r="N467" i="1"/>
  <c r="X32" i="3"/>
  <c r="H33" i="3"/>
  <c r="J509" i="1"/>
  <c r="J467" i="1"/>
  <c r="J33" i="3"/>
  <c r="N509" i="1"/>
  <c r="L33" i="3"/>
  <c r="R509" i="1"/>
  <c r="N33" i="3"/>
  <c r="V509" i="1"/>
  <c r="R467" i="1"/>
  <c r="V467" i="1"/>
  <c r="T495" i="1"/>
  <c r="L509" i="1"/>
  <c r="P510" i="1" s="1"/>
  <c r="I33" i="3"/>
  <c r="R495" i="1"/>
  <c r="N495" i="1"/>
  <c r="V495" i="1"/>
  <c r="J495" i="1"/>
  <c r="R482" i="1" l="1"/>
  <c r="Z33" i="3"/>
  <c r="L482" i="1"/>
  <c r="W33" i="3"/>
  <c r="V33" i="3"/>
  <c r="P482" i="1"/>
  <c r="T482" i="1"/>
  <c r="AA33" i="3"/>
  <c r="V482" i="1"/>
  <c r="AB33" i="3"/>
  <c r="N482" i="1"/>
  <c r="X33" i="3"/>
  <c r="H34" i="3"/>
  <c r="L34" i="3"/>
  <c r="J34" i="3"/>
  <c r="J482" i="1"/>
  <c r="I34" i="3"/>
  <c r="T510" i="1"/>
  <c r="N510" i="1"/>
  <c r="R510" i="1"/>
  <c r="V510" i="1"/>
  <c r="J510" i="1"/>
  <c r="N34" i="3"/>
  <c r="V34" i="3" l="1"/>
  <c r="P497" i="1"/>
  <c r="T497" i="1"/>
  <c r="AA34" i="3"/>
  <c r="N497" i="1"/>
  <c r="X34" i="3"/>
  <c r="R497" i="1"/>
  <c r="Z34" i="3"/>
  <c r="V497" i="1"/>
  <c r="AB34" i="3"/>
  <c r="L497" i="1"/>
  <c r="W34" i="3"/>
  <c r="J497" i="1"/>
</calcChain>
</file>

<file path=xl/sharedStrings.xml><?xml version="1.0" encoding="utf-8"?>
<sst xmlns="http://schemas.openxmlformats.org/spreadsheetml/2006/main" count="3951" uniqueCount="286">
  <si>
    <t>Fr</t>
  </si>
  <si>
    <t>13.30</t>
  </si>
  <si>
    <t>Sa</t>
  </si>
  <si>
    <t>15.30</t>
  </si>
  <si>
    <t>h</t>
  </si>
  <si>
    <t>a</t>
  </si>
  <si>
    <t>z</t>
  </si>
  <si>
    <t>Tore</t>
  </si>
  <si>
    <t>Punkte</t>
  </si>
  <si>
    <t>gespielt</t>
  </si>
  <si>
    <t>18.30</t>
  </si>
  <si>
    <t>-</t>
  </si>
  <si>
    <t>:</t>
  </si>
  <si>
    <t>So</t>
  </si>
  <si>
    <t>17.30</t>
  </si>
  <si>
    <t>Mo</t>
  </si>
  <si>
    <t>18.00</t>
  </si>
  <si>
    <t>Di</t>
  </si>
  <si>
    <t>20.30</t>
  </si>
  <si>
    <t>Mi</t>
  </si>
  <si>
    <t>18.45</t>
  </si>
  <si>
    <t>Do</t>
  </si>
  <si>
    <t>19.30</t>
  </si>
  <si>
    <t>20.00</t>
  </si>
  <si>
    <t>20.15</t>
  </si>
  <si>
    <t>20.45</t>
  </si>
  <si>
    <t>Sp.</t>
  </si>
  <si>
    <t>T+</t>
  </si>
  <si>
    <t>T-</t>
  </si>
  <si>
    <t>Diff.</t>
  </si>
  <si>
    <t>P</t>
  </si>
  <si>
    <t>ß|</t>
  </si>
  <si>
    <t>Mannschaft KZ 01</t>
  </si>
  <si>
    <t>Dortmund</t>
  </si>
  <si>
    <t>1860</t>
  </si>
  <si>
    <t>1. Spieltag</t>
  </si>
  <si>
    <t>Spieler 1</t>
  </si>
  <si>
    <t>Kropp</t>
  </si>
  <si>
    <t>J</t>
  </si>
  <si>
    <t>Tipper</t>
  </si>
  <si>
    <t>Nörnberg</t>
  </si>
  <si>
    <t>Mannschaft KZ 02</t>
  </si>
  <si>
    <t>Bayern</t>
  </si>
  <si>
    <t>Aachen</t>
  </si>
  <si>
    <t>2. Spieltag</t>
  </si>
  <si>
    <t>Spieler 2</t>
  </si>
  <si>
    <t>L</t>
  </si>
  <si>
    <t>Mannschaft KZ 03</t>
  </si>
  <si>
    <t>Union</t>
  </si>
  <si>
    <t>Augsburg</t>
  </si>
  <si>
    <t>3. Spieltag</t>
  </si>
  <si>
    <t>Spieler 3</t>
  </si>
  <si>
    <t>Bübel</t>
  </si>
  <si>
    <t>N</t>
  </si>
  <si>
    <t>Mannschaft KZ 04</t>
  </si>
  <si>
    <t>Leverk.</t>
  </si>
  <si>
    <t>4. Spieltag</t>
  </si>
  <si>
    <t>Spieler 4</t>
  </si>
  <si>
    <t>Mannschaft KZ 05</t>
  </si>
  <si>
    <t>M'gladb.</t>
  </si>
  <si>
    <t>Bielefeld</t>
  </si>
  <si>
    <t>5. Spieltag</t>
  </si>
  <si>
    <t>Spieler 5</t>
  </si>
  <si>
    <t>Schwicht.</t>
  </si>
  <si>
    <t>R</t>
  </si>
  <si>
    <t>Mannschaft KZ 06</t>
  </si>
  <si>
    <t>Leipzig</t>
  </si>
  <si>
    <t>Bochum</t>
  </si>
  <si>
    <t>6. Spieltag</t>
  </si>
  <si>
    <t>Spieler 6</t>
  </si>
  <si>
    <t>Rontzko.</t>
  </si>
  <si>
    <t>T</t>
  </si>
  <si>
    <t>Mannschaft KZ 07</t>
  </si>
  <si>
    <t>Frankfurt</t>
  </si>
  <si>
    <t>Br'schweig</t>
  </si>
  <si>
    <t>7. Spieltag</t>
  </si>
  <si>
    <t>Spieler 7</t>
  </si>
  <si>
    <t>Hauschildt</t>
  </si>
  <si>
    <t>V</t>
  </si>
  <si>
    <t>Mannschaft KZ 08</t>
  </si>
  <si>
    <t>Freiburg</t>
  </si>
  <si>
    <t>Cottbus</t>
  </si>
  <si>
    <t>8. Spieltag</t>
  </si>
  <si>
    <t>Zerres</t>
  </si>
  <si>
    <t>Mannschaft KZ 09</t>
  </si>
  <si>
    <t>Köln</t>
  </si>
  <si>
    <t>Darmstadt</t>
  </si>
  <si>
    <t>9. Spieltag</t>
  </si>
  <si>
    <t>Mannschaft KZ 10</t>
  </si>
  <si>
    <t>Mainz</t>
  </si>
  <si>
    <t>10. Spieltag</t>
  </si>
  <si>
    <t>Mannschaft KZ 11</t>
  </si>
  <si>
    <t>Wolfsburg</t>
  </si>
  <si>
    <t>Duisburg</t>
  </si>
  <si>
    <t>11. Spieltag</t>
  </si>
  <si>
    <t>Mannschaft KZ 12</t>
  </si>
  <si>
    <t>Hoffenheim</t>
  </si>
  <si>
    <t>Düsseldorf</t>
  </si>
  <si>
    <t>12. Spieltag</t>
  </si>
  <si>
    <t>Mannschaft KZ 13</t>
  </si>
  <si>
    <t>13. Spieltag</t>
  </si>
  <si>
    <t>Mannschaft KZ 14</t>
  </si>
  <si>
    <t>Hertha</t>
  </si>
  <si>
    <t>14. Spieltag</t>
  </si>
  <si>
    <t>Mannschaft KZ 15</t>
  </si>
  <si>
    <t>Gr. Fürth</t>
  </si>
  <si>
    <t>15. Spieltag</t>
  </si>
  <si>
    <t>Mannschaft KZ 16</t>
  </si>
  <si>
    <t>Schalke</t>
  </si>
  <si>
    <t>Hannover</t>
  </si>
  <si>
    <t>16. Spieltag</t>
  </si>
  <si>
    <t>Mannschaft KZ 17</t>
  </si>
  <si>
    <t>Stuttgart</t>
  </si>
  <si>
    <t>17. Spieltag</t>
  </si>
  <si>
    <t>Mannschaft KZ 18</t>
  </si>
  <si>
    <t>Werder</t>
  </si>
  <si>
    <t>18. Spieltag</t>
  </si>
  <si>
    <t>HSV</t>
  </si>
  <si>
    <t>19. Spieltag</t>
  </si>
  <si>
    <t>Ingolstadt</t>
  </si>
  <si>
    <t>20. Spieltag</t>
  </si>
  <si>
    <t>Karlsruhe</t>
  </si>
  <si>
    <t>21. Spieltag</t>
  </si>
  <si>
    <t>K'lautern</t>
  </si>
  <si>
    <t>22. Spieltag</t>
  </si>
  <si>
    <t>23. Spieltag</t>
  </si>
  <si>
    <t>24. Spieltag</t>
  </si>
  <si>
    <t>25. Spieltag</t>
  </si>
  <si>
    <t>26. Spieltag</t>
  </si>
  <si>
    <t>27. Spieltag</t>
  </si>
  <si>
    <t>Nürnberg</t>
  </si>
  <si>
    <t>28. Spieltag</t>
  </si>
  <si>
    <t>Paderborn</t>
  </si>
  <si>
    <t>29. Spieltag</t>
  </si>
  <si>
    <t>Rostock</t>
  </si>
  <si>
    <t>30. Spieltag</t>
  </si>
  <si>
    <t>31. Spieltag</t>
  </si>
  <si>
    <t>St. Pauli</t>
  </si>
  <si>
    <t>32. Spieltag</t>
  </si>
  <si>
    <t>33. Spieltag</t>
  </si>
  <si>
    <t>34. Spieltag</t>
  </si>
  <si>
    <t>Saison</t>
  </si>
  <si>
    <t>umbenennen</t>
  </si>
  <si>
    <t>Excel 2003</t>
  </si>
  <si>
    <t>Einfügen</t>
  </si>
  <si>
    <t>Namen</t>
  </si>
  <si>
    <t>Definieren</t>
  </si>
  <si>
    <t>Excel 2010</t>
  </si>
  <si>
    <t>Formeln</t>
  </si>
  <si>
    <t>Namens-Manager</t>
  </si>
  <si>
    <t>PlanMaker</t>
  </si>
  <si>
    <t>Arbeitsblatt</t>
  </si>
  <si>
    <t>Bearbeiten</t>
  </si>
  <si>
    <t>1.</t>
  </si>
  <si>
    <t>2.</t>
  </si>
  <si>
    <t>3.</t>
  </si>
  <si>
    <t>4.</t>
  </si>
  <si>
    <t>5.</t>
  </si>
  <si>
    <t>6.</t>
  </si>
  <si>
    <t>7.</t>
  </si>
  <si>
    <t>8.</t>
  </si>
  <si>
    <t>9.</t>
  </si>
  <si>
    <t>1. Sp.</t>
  </si>
  <si>
    <t>2. Sp.</t>
  </si>
  <si>
    <t>3. Sp.</t>
  </si>
  <si>
    <t>4. Sp.</t>
  </si>
  <si>
    <t>5. Sp.</t>
  </si>
  <si>
    <t>6. Sp.</t>
  </si>
  <si>
    <t>7. Sp.</t>
  </si>
  <si>
    <t>8. Sp.</t>
  </si>
  <si>
    <t>9. Sp.</t>
  </si>
  <si>
    <t>10. Sp.</t>
  </si>
  <si>
    <t>11. Sp.</t>
  </si>
  <si>
    <t>12. Sp.</t>
  </si>
  <si>
    <t>13. Sp.</t>
  </si>
  <si>
    <t>14. Sp.</t>
  </si>
  <si>
    <t>15. Sp.</t>
  </si>
  <si>
    <t>16. Sp.</t>
  </si>
  <si>
    <t>17. Sp.</t>
  </si>
  <si>
    <t>18. Sp.</t>
  </si>
  <si>
    <t>19. Sp.</t>
  </si>
  <si>
    <t>20. Sp.</t>
  </si>
  <si>
    <t>21. Sp.</t>
  </si>
  <si>
    <t>22. Sp.</t>
  </si>
  <si>
    <t>23. Sp.</t>
  </si>
  <si>
    <t>24. Sp.</t>
  </si>
  <si>
    <t>25. Sp.</t>
  </si>
  <si>
    <t>26. Sp.</t>
  </si>
  <si>
    <t>27. Sp.</t>
  </si>
  <si>
    <t>28. Sp.</t>
  </si>
  <si>
    <t>29. Sp.</t>
  </si>
  <si>
    <t>30. Sp.</t>
  </si>
  <si>
    <t>31. Sp.</t>
  </si>
  <si>
    <t>32. Sp.</t>
  </si>
  <si>
    <t>33. Sp.</t>
  </si>
  <si>
    <t>34. Sp.</t>
  </si>
  <si>
    <t>Platz</t>
  </si>
  <si>
    <t>Anzahl</t>
  </si>
  <si>
    <t>richtige Tipps</t>
  </si>
  <si>
    <t>S</t>
  </si>
  <si>
    <t>U</t>
  </si>
  <si>
    <t>Tipp</t>
  </si>
  <si>
    <t xml:space="preserve">Saison </t>
  </si>
  <si>
    <t>Multiplikator</t>
  </si>
  <si>
    <t>Punktewert</t>
  </si>
  <si>
    <t>Gesamt</t>
  </si>
  <si>
    <t>Tipps</t>
  </si>
  <si>
    <t>Multipl.</t>
  </si>
  <si>
    <t>i</t>
  </si>
  <si>
    <t>Spielauswertung</t>
  </si>
  <si>
    <t>Tippauswertung</t>
  </si>
  <si>
    <t>H</t>
  </si>
  <si>
    <t>A</t>
  </si>
  <si>
    <t>Zeile</t>
  </si>
  <si>
    <t>Ergebnis</t>
  </si>
  <si>
    <t>HS</t>
  </si>
  <si>
    <t>HU</t>
  </si>
  <si>
    <t>HN</t>
  </si>
  <si>
    <t>AS</t>
  </si>
  <si>
    <t>AU</t>
  </si>
  <si>
    <t>AN</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</si>
  <si>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</si>
  <si>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</si>
  <si>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</si>
  <si>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</si>
  <si>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</si>
  <si>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</si>
  <si>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</si>
  <si>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</si>
  <si>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</si>
  <si>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</si>
  <si>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</si>
  <si>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</si>
  <si>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</si>
  <si>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</si>
  <si>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</si>
  <si>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</si>
  <si>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</si>
  <si>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</si>
  <si>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</si>
  <si>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</si>
  <si>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</si>
  <si>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</si>
  <si>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</si>
  <si>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</si>
  <si>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</si>
  <si>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Tabelle</t>
  </si>
  <si>
    <t>tats</t>
  </si>
  <si>
    <t>Diff</t>
  </si>
  <si>
    <t>x</t>
  </si>
  <si>
    <t>Heidenheim</t>
  </si>
  <si>
    <t>Holstein Kiel</t>
  </si>
  <si>
    <t>2025/26</t>
  </si>
  <si>
    <t>22.-24.8.25</t>
  </si>
  <si>
    <t>29.-31.8.25</t>
  </si>
  <si>
    <t>12.-14.9.25</t>
  </si>
  <si>
    <t>19.-21.9.25</t>
  </si>
  <si>
    <t>26.-28.9.25</t>
  </si>
  <si>
    <t>3.-5.10.25</t>
  </si>
  <si>
    <t>17.19.10.25</t>
  </si>
  <si>
    <t>24.-26.10.25</t>
  </si>
  <si>
    <t>31.10.-2.11.25</t>
  </si>
  <si>
    <t>7.-9.11.25</t>
  </si>
  <si>
    <t>21.-23.11.25</t>
  </si>
  <si>
    <t>28.-30.11.25</t>
  </si>
  <si>
    <t>5.-7.12.25</t>
  </si>
  <si>
    <t>12.-14.12.25</t>
  </si>
  <si>
    <t>19.-21.12.25</t>
  </si>
  <si>
    <t>9.-11.1.26</t>
  </si>
  <si>
    <t>16.-18.1.26</t>
  </si>
  <si>
    <t>13.-15.1.26</t>
  </si>
  <si>
    <t>23.1.-25.1.26</t>
  </si>
  <si>
    <t>30.1.-1.2.26</t>
  </si>
  <si>
    <t>6.-8.2.26</t>
  </si>
  <si>
    <t>13.-15.2.26</t>
  </si>
  <si>
    <t>20.-22.2.26</t>
  </si>
  <si>
    <t>27.2.-1.3.26</t>
  </si>
  <si>
    <t>6.-8.3.26</t>
  </si>
  <si>
    <t>13.-15.3.26</t>
  </si>
  <si>
    <t>20.-22.3.26</t>
  </si>
  <si>
    <t>4./5.4.26</t>
  </si>
  <si>
    <t>10.-12.4.26</t>
  </si>
  <si>
    <t>17.-19.4.26</t>
  </si>
  <si>
    <t>24.-26.4.26</t>
  </si>
  <si>
    <t>2./3.5.26</t>
  </si>
  <si>
    <t>8.-10.5.26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</si>
</sst>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Red]\-0"/>
    <numFmt numFmtId="166" formatCode="d/m/yyyy;@"/>
  </numFmts>
  <fonts count="15" x14ac:knownFonts="1">
    <font>
      <sz val="10"/>
      <name val="Arial"/>
      <charset val="1"/>
    </font>
    <font>
      <sz val="7"/>
      <name val="Arial"/>
      <family val="2"/>
      <charset val="1"/>
    </font>
    <font>
      <sz val="8"/>
      <name val="Arial"/>
      <family val="2"/>
      <charset val="1"/>
    </font>
    <font>
      <sz val="10"/>
      <name val="Arial"/>
      <family val="2"/>
      <charset val="1"/>
    </font>
    <font>
      <b/>
      <sz val="8"/>
      <name val="Arial"/>
      <family val="2"/>
      <charset val="1"/>
    </font>
    <font>
      <sz val="8"/>
      <color rgb="FFFF0000"/>
      <name val="Arial"/>
      <family val="2"/>
      <charset val="1"/>
    </font>
    <font>
      <b/>
      <sz val="8"/>
      <color rgb="FFFF0000"/>
      <name val="Arial"/>
      <family val="2"/>
      <charset val="1"/>
    </font>
    <font>
      <b/>
      <sz val="10"/>
      <name val="Arial"/>
      <family val="2"/>
      <charset val="1"/>
    </font>
    <font>
      <sz val="9"/>
      <name val="Arial"/>
      <family val="2"/>
      <charset val="1"/>
    </font>
    <font>
      <sz val="16"/>
      <name val="Arial"/>
      <family val="2"/>
      <charset val="1"/>
    </font>
    <font>
      <b/>
      <sz val="9"/>
      <name val="Arial"/>
      <family val="2"/>
      <charset val="1"/>
    </font>
    <font>
      <b/>
      <sz val="16"/>
      <name val="Arial"/>
      <family val="2"/>
      <charset val="1"/>
    </font>
    <font>
      <sz val="8"/>
      <name val="Arial"/>
      <family val="2"/>
    </font>
    <font>
      <sz val="10"/>
      <name val="Arial"/>
      <family val="2"/>
    </font>
    <font>
      <sz val="8"/>
      <name val="Arial"/>
      <family val="2"/>
    </font>
  </fonts>
  <fills count="9">
    <fill>
      <patternFill patternType="none"/>
    </fill>
    <fill>
      <patternFill patternType="gray125"/>
    </fill>
    <fill>
      <patternFill patternType="solid">
        <fgColor rgb="FF99CC00"/>
        <bgColor rgb="FFB3C992"/>
      </patternFill>
    </fill>
    <fill>
      <patternFill patternType="solid">
        <fgColor rgb="FFCCFFCC"/>
        <bgColor rgb="FFCCFFFF"/>
      </patternFill>
    </fill>
    <fill>
      <patternFill patternType="solid">
        <fgColor rgb="FFFFFF00"/>
        <bgColor rgb="FFFFFF00"/>
      </patternFill>
    </fill>
    <fill>
      <patternFill patternType="solid">
        <fgColor rgb="FFFFFFFF"/>
        <bgColor rgb="FFFFFFCC"/>
      </patternFill>
    </fill>
    <fill>
      <patternFill patternType="solid">
        <fgColor rgb="FFFF8080"/>
        <bgColor rgb="FFFF99CC"/>
      </patternFill>
    </fill>
    <fill>
      <patternFill patternType="solid">
        <fgColor rgb="FFFF0000"/>
        <bgColor rgb="FF993300"/>
      </patternFill>
    </fill>
    <fill>
      <patternFill patternType="solid">
        <fgColor rgb="FFC0C0C0"/>
        <bgColor rgb="FFB3C992"/>
      </patternFill>
    </fill>
  </fills>
  <borders count="21">
    <border>
      <left/>
      <right/>
      <top/>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double">
        <color auto="1"/>
      </bottom>
      <diagonal/>
    </border>
    <border>
      <left style="double">
        <color auto="1"/>
      </left>
      <right style="thin">
        <color auto="1"/>
      </right>
      <top style="double">
        <color auto="1"/>
      </top>
      <bottom style="thin">
        <color auto="1"/>
      </bottom>
      <diagonal/>
    </border>
    <border>
      <left/>
      <right style="double">
        <color auto="1"/>
      </right>
      <top style="double">
        <color auto="1"/>
      </top>
      <bottom style="thin">
        <color auto="1"/>
      </bottom>
      <diagonal/>
    </border>
    <border>
      <left/>
      <right style="double">
        <color auto="1"/>
      </right>
      <top/>
      <bottom/>
      <diagonal/>
    </border>
    <border>
      <left style="double">
        <color auto="1"/>
      </left>
      <right style="thin">
        <color auto="1"/>
      </right>
      <top style="thin">
        <color auto="1"/>
      </top>
      <bottom style="thin">
        <color auto="1"/>
      </bottom>
      <diagonal/>
    </border>
    <border>
      <left/>
      <right style="double">
        <color auto="1"/>
      </right>
      <top style="thin">
        <color auto="1"/>
      </top>
      <bottom style="thin">
        <color auto="1"/>
      </bottom>
      <diagonal/>
    </border>
    <border>
      <left style="double">
        <color auto="1"/>
      </left>
      <right style="thin">
        <color auto="1"/>
      </right>
      <top/>
      <bottom style="double">
        <color auto="1"/>
      </bottom>
      <diagonal/>
    </border>
    <border>
      <left/>
      <right style="double">
        <color auto="1"/>
      </right>
      <top/>
      <bottom style="double">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bottom style="thin">
        <color auto="1"/>
      </bottom>
      <diagonal/>
    </border>
  </borders>
  <cellStyleXfs count="1">
    <xf numFmtId="0" fontId="0" fillId="0" borderId="0"/>
  </cellStyleXfs>
  <cellXfs count="143">
    <xf numFmtId="0" fontId="0" fillId="0" borderId="0" xfId="0"/>
    <xf numFmtId="0" fontId="1" fillId="0" borderId="0" xfId="0" applyFont="1" applyProtection="1">
      <protection locked="0"/>
    </xf>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horizontal="right"/>
    </xf>
    <xf numFmtId="0" fontId="3" fillId="0" borderId="0" xfId="0" applyFont="1"/>
    <xf numFmtId="0" fontId="0" fillId="0" borderId="1" xfId="0" applyBorder="1"/>
    <xf numFmtId="0" fontId="0" fillId="0" borderId="2" xfId="0" applyBorder="1"/>
    <xf numFmtId="0" fontId="0" fillId="0" borderId="0" xfId="0" applyProtection="1">
      <protection locked="0"/>
    </xf>
    <xf numFmtId="1" fontId="3" fillId="0" borderId="0" xfId="0" applyNumberFormat="1" applyFont="1" applyProtection="1">
      <protection locked="0"/>
    </xf>
    <xf numFmtId="0" fontId="3" fillId="0" borderId="0" xfId="0" applyFont="1" applyProtection="1">
      <protection locked="0"/>
    </xf>
    <xf numFmtId="0" fontId="4" fillId="0" borderId="0" xfId="0" applyFont="1" applyAlignment="1">
      <alignment horizontal="center"/>
    </xf>
    <xf numFmtId="0" fontId="3" fillId="0" borderId="0" xfId="0" applyFont="1" applyAlignment="1">
      <alignment horizontal="left"/>
    </xf>
    <xf numFmtId="0" fontId="3" fillId="0" borderId="2" xfId="0" applyFont="1" applyBorder="1"/>
    <xf numFmtId="0" fontId="3" fillId="0" borderId="1" xfId="0" applyFont="1" applyBorder="1"/>
    <xf numFmtId="0" fontId="0" fillId="0" borderId="1" xfId="0" applyBorder="1" applyAlignment="1">
      <alignment horizontal="center"/>
    </xf>
    <xf numFmtId="0" fontId="4" fillId="0" borderId="0" xfId="0" applyFont="1" applyAlignment="1">
      <alignment horizontal="left"/>
    </xf>
    <xf numFmtId="14" fontId="4" fillId="0" borderId="0" xfId="0" applyNumberFormat="1" applyFont="1" applyAlignment="1">
      <alignment horizontal="left"/>
    </xf>
    <xf numFmtId="0" fontId="4" fillId="0" borderId="0" xfId="0" applyFont="1" applyAlignment="1">
      <alignment horizontal="right"/>
    </xf>
    <xf numFmtId="0" fontId="5" fillId="0" borderId="4" xfId="0" applyFont="1" applyBorder="1" applyAlignment="1">
      <alignment horizontal="center"/>
    </xf>
    <xf numFmtId="0" fontId="6" fillId="0" borderId="4" xfId="0" applyFont="1" applyBorder="1" applyAlignment="1">
      <alignment horizontal="center"/>
    </xf>
    <xf numFmtId="0" fontId="7" fillId="0" borderId="0" xfId="0" applyFont="1"/>
    <xf numFmtId="0" fontId="5" fillId="0" borderId="0" xfId="0" applyFont="1" applyAlignment="1">
      <alignment horizontal="center"/>
    </xf>
    <xf numFmtId="0" fontId="7" fillId="0" borderId="1" xfId="0" applyFont="1" applyBorder="1"/>
    <xf numFmtId="0" fontId="7" fillId="0" borderId="2" xfId="0" applyFont="1" applyBorder="1"/>
    <xf numFmtId="0" fontId="7" fillId="0" borderId="0" xfId="0" applyFont="1" applyAlignment="1">
      <alignment horizontal="center"/>
    </xf>
    <xf numFmtId="0" fontId="7" fillId="0" borderId="1" xfId="0" applyFont="1" applyBorder="1" applyAlignment="1">
      <alignment horizontal="center"/>
    </xf>
    <xf numFmtId="0" fontId="7" fillId="0" borderId="2" xfId="0" applyFont="1" applyBorder="1" applyAlignment="1">
      <alignment horizontal="center"/>
    </xf>
    <xf numFmtId="0" fontId="3" fillId="0" borderId="0" xfId="0" applyFont="1" applyAlignment="1">
      <alignment horizontal="center"/>
    </xf>
    <xf numFmtId="0" fontId="2" fillId="0" borderId="0" xfId="0" applyFont="1" applyAlignment="1" applyProtection="1">
      <alignment horizontal="right"/>
      <protection locked="0"/>
    </xf>
    <xf numFmtId="0" fontId="2" fillId="0" borderId="0" xfId="0" applyFont="1" applyAlignment="1" applyProtection="1">
      <alignment horizontal="left"/>
      <protection locked="0"/>
    </xf>
    <xf numFmtId="0" fontId="2" fillId="0" borderId="5" xfId="0" applyFont="1" applyBorder="1" applyAlignment="1" applyProtection="1">
      <alignment horizontal="center"/>
      <protection locked="0"/>
    </xf>
    <xf numFmtId="0" fontId="6" fillId="0" borderId="6" xfId="0" applyFont="1" applyBorder="1" applyAlignment="1">
      <alignment horizontal="center"/>
    </xf>
    <xf numFmtId="0" fontId="2" fillId="0" borderId="0" xfId="0" applyFont="1" applyAlignment="1" applyProtection="1">
      <alignment horizontal="center"/>
      <protection locked="0"/>
    </xf>
    <xf numFmtId="0" fontId="6" fillId="0" borderId="0" xfId="0" applyFont="1" applyAlignment="1">
      <alignment horizontal="center"/>
    </xf>
    <xf numFmtId="0" fontId="0" fillId="0" borderId="0" xfId="0" applyAlignment="1">
      <alignment horizontal="center"/>
    </xf>
    <xf numFmtId="0" fontId="0" fillId="0" borderId="2" xfId="0" applyBorder="1" applyAlignment="1">
      <alignment horizontal="center"/>
    </xf>
    <xf numFmtId="0" fontId="2" fillId="0" borderId="2" xfId="0" applyFont="1" applyBorder="1" applyAlignment="1" applyProtection="1">
      <alignment horizontal="center"/>
      <protection locked="0"/>
    </xf>
    <xf numFmtId="0" fontId="6" fillId="0" borderId="1" xfId="0" applyFont="1" applyBorder="1" applyAlignment="1">
      <alignment horizontal="center"/>
    </xf>
    <xf numFmtId="0" fontId="3" fillId="0" borderId="1" xfId="0" applyFont="1" applyBorder="1" applyAlignment="1">
      <alignment horizontal="left"/>
    </xf>
    <xf numFmtId="0" fontId="2" fillId="0" borderId="7" xfId="0" applyFont="1" applyBorder="1" applyAlignment="1" applyProtection="1">
      <alignment horizontal="center"/>
      <protection locked="0"/>
    </xf>
    <xf numFmtId="1" fontId="2" fillId="0" borderId="0" xfId="0" applyNumberFormat="1" applyFont="1" applyAlignment="1">
      <alignment horizontal="right"/>
    </xf>
    <xf numFmtId="164" fontId="2" fillId="0" borderId="0" xfId="0" applyNumberFormat="1" applyFont="1" applyAlignment="1">
      <alignment horizontal="right"/>
    </xf>
    <xf numFmtId="1" fontId="2" fillId="0" borderId="0" xfId="0" applyNumberFormat="1" applyFont="1" applyAlignment="1">
      <alignment horizontal="left"/>
    </xf>
    <xf numFmtId="0" fontId="5" fillId="0" borderId="8" xfId="0" applyFont="1" applyBorder="1" applyAlignment="1">
      <alignment horizontal="center"/>
    </xf>
    <xf numFmtId="0" fontId="6" fillId="0" borderId="9" xfId="0" applyFont="1" applyBorder="1" applyAlignment="1">
      <alignment horizontal="center"/>
    </xf>
    <xf numFmtId="0" fontId="5" fillId="0" borderId="11" xfId="0" applyFont="1" applyBorder="1" applyAlignment="1">
      <alignment horizontal="center"/>
    </xf>
    <xf numFmtId="0" fontId="6" fillId="0" borderId="12" xfId="0" applyFont="1" applyBorder="1" applyAlignment="1">
      <alignment horizontal="center"/>
    </xf>
    <xf numFmtId="0" fontId="5" fillId="0" borderId="13" xfId="0" applyFont="1" applyBorder="1" applyAlignment="1">
      <alignment horizontal="center"/>
    </xf>
    <xf numFmtId="0" fontId="6" fillId="0" borderId="14" xfId="0" applyFont="1" applyBorder="1" applyAlignment="1">
      <alignment horizontal="center"/>
    </xf>
    <xf numFmtId="165" fontId="2" fillId="0" borderId="0" xfId="0" applyNumberFormat="1" applyFont="1" applyAlignment="1">
      <alignment horizontal="center"/>
    </xf>
    <xf numFmtId="0" fontId="5" fillId="0" borderId="0" xfId="0" applyFont="1" applyAlignment="1" applyProtection="1">
      <alignment horizontal="left"/>
      <protection locked="0"/>
    </xf>
    <xf numFmtId="1" fontId="7" fillId="0" borderId="0" xfId="0" applyNumberFormat="1" applyFont="1"/>
    <xf numFmtId="49" fontId="2" fillId="0" borderId="0" xfId="0" applyNumberFormat="1" applyFont="1" applyAlignment="1" applyProtection="1">
      <alignment horizontal="right"/>
      <protection locked="0"/>
    </xf>
    <xf numFmtId="1" fontId="8" fillId="2" borderId="15" xfId="0" applyNumberFormat="1" applyFont="1" applyFill="1" applyBorder="1" applyProtection="1">
      <protection locked="0"/>
    </xf>
    <xf numFmtId="1" fontId="8" fillId="2" borderId="16" xfId="0" applyNumberFormat="1" applyFont="1" applyFill="1" applyBorder="1" applyProtection="1">
      <protection locked="0"/>
    </xf>
    <xf numFmtId="0" fontId="8" fillId="2" borderId="17" xfId="0" applyFont="1" applyFill="1" applyBorder="1" applyProtection="1">
      <protection locked="0"/>
    </xf>
    <xf numFmtId="0" fontId="8" fillId="2" borderId="18" xfId="0" applyFont="1" applyFill="1" applyBorder="1" applyProtection="1">
      <protection locked="0"/>
    </xf>
    <xf numFmtId="0" fontId="8" fillId="2" borderId="18" xfId="0" applyFont="1" applyFill="1" applyBorder="1" applyAlignment="1" applyProtection="1">
      <alignment horizontal="center"/>
      <protection locked="0"/>
    </xf>
    <xf numFmtId="1" fontId="8" fillId="3" borderId="15" xfId="0" applyNumberFormat="1" applyFont="1" applyFill="1" applyBorder="1" applyProtection="1">
      <protection locked="0"/>
    </xf>
    <xf numFmtId="1" fontId="8" fillId="3" borderId="16" xfId="0" applyNumberFormat="1" applyFont="1" applyFill="1" applyBorder="1" applyProtection="1">
      <protection locked="0"/>
    </xf>
    <xf numFmtId="0" fontId="8" fillId="3" borderId="17" xfId="0" applyFont="1" applyFill="1" applyBorder="1" applyProtection="1">
      <protection locked="0"/>
    </xf>
    <xf numFmtId="0" fontId="8" fillId="3" borderId="18" xfId="0" applyFont="1" applyFill="1" applyBorder="1" applyProtection="1">
      <protection locked="0"/>
    </xf>
    <xf numFmtId="0" fontId="8" fillId="3" borderId="18" xfId="0" applyFont="1" applyFill="1" applyBorder="1" applyAlignment="1" applyProtection="1">
      <alignment horizontal="center"/>
      <protection locked="0"/>
    </xf>
    <xf numFmtId="0" fontId="8" fillId="3" borderId="15" xfId="0" applyFont="1" applyFill="1" applyBorder="1" applyProtection="1">
      <protection locked="0"/>
    </xf>
    <xf numFmtId="1" fontId="8" fillId="4" borderId="15" xfId="0" applyNumberFormat="1" applyFont="1" applyFill="1" applyBorder="1" applyProtection="1">
      <protection locked="0"/>
    </xf>
    <xf numFmtId="1" fontId="8" fillId="4" borderId="16" xfId="0" applyNumberFormat="1" applyFont="1" applyFill="1" applyBorder="1" applyProtection="1">
      <protection locked="0"/>
    </xf>
    <xf numFmtId="0" fontId="8" fillId="4" borderId="17" xfId="0" applyFont="1" applyFill="1" applyBorder="1" applyProtection="1">
      <protection locked="0"/>
    </xf>
    <xf numFmtId="0" fontId="8" fillId="4" borderId="18" xfId="0" applyFont="1" applyFill="1" applyBorder="1" applyProtection="1">
      <protection locked="0"/>
    </xf>
    <xf numFmtId="0" fontId="8" fillId="4" borderId="18" xfId="0" applyFont="1" applyFill="1" applyBorder="1" applyAlignment="1" applyProtection="1">
      <alignment horizontal="center"/>
      <protection locked="0"/>
    </xf>
    <xf numFmtId="0" fontId="8" fillId="4" borderId="15" xfId="0" applyFont="1" applyFill="1" applyBorder="1" applyProtection="1">
      <protection locked="0"/>
    </xf>
    <xf numFmtId="1" fontId="8" fillId="0" borderId="15" xfId="0" applyNumberFormat="1" applyFont="1" applyBorder="1" applyProtection="1">
      <protection locked="0"/>
    </xf>
    <xf numFmtId="1" fontId="8" fillId="0" borderId="16" xfId="0" applyNumberFormat="1" applyFont="1" applyBorder="1" applyProtection="1">
      <protection locked="0"/>
    </xf>
    <xf numFmtId="0" fontId="8" fillId="0" borderId="17" xfId="0" applyFont="1" applyBorder="1" applyProtection="1">
      <protection locked="0"/>
    </xf>
    <xf numFmtId="0" fontId="8" fillId="0" borderId="18" xfId="0" applyFont="1" applyBorder="1" applyProtection="1">
      <protection locked="0"/>
    </xf>
    <xf numFmtId="0" fontId="8" fillId="0" borderId="18" xfId="0" applyFont="1" applyBorder="1" applyAlignment="1" applyProtection="1">
      <alignment horizontal="center"/>
      <protection locked="0"/>
    </xf>
    <xf numFmtId="0" fontId="8" fillId="0" borderId="15" xfId="0" applyFont="1" applyBorder="1" applyProtection="1">
      <protection locked="0"/>
    </xf>
    <xf numFmtId="1" fontId="8" fillId="5" borderId="15" xfId="0" applyNumberFormat="1" applyFont="1" applyFill="1" applyBorder="1" applyProtection="1">
      <protection locked="0"/>
    </xf>
    <xf numFmtId="1" fontId="8" fillId="5" borderId="16" xfId="0" applyNumberFormat="1" applyFont="1" applyFill="1" applyBorder="1" applyProtection="1">
      <protection locked="0"/>
    </xf>
    <xf numFmtId="0" fontId="8" fillId="5" borderId="17" xfId="0" applyFont="1" applyFill="1" applyBorder="1" applyProtection="1">
      <protection locked="0"/>
    </xf>
    <xf numFmtId="0" fontId="8" fillId="5" borderId="18" xfId="0" applyFont="1" applyFill="1" applyBorder="1" applyProtection="1">
      <protection locked="0"/>
    </xf>
    <xf numFmtId="0" fontId="8" fillId="5" borderId="18" xfId="0" applyFont="1" applyFill="1" applyBorder="1" applyAlignment="1" applyProtection="1">
      <alignment horizontal="center"/>
      <protection locked="0"/>
    </xf>
    <xf numFmtId="0" fontId="8" fillId="5" borderId="15" xfId="0" applyFont="1" applyFill="1" applyBorder="1" applyProtection="1">
      <protection locked="0"/>
    </xf>
    <xf numFmtId="1" fontId="8" fillId="5" borderId="18" xfId="0" applyNumberFormat="1" applyFont="1" applyFill="1" applyBorder="1" applyProtection="1">
      <protection locked="0"/>
    </xf>
    <xf numFmtId="1" fontId="8" fillId="6" borderId="15" xfId="0" applyNumberFormat="1" applyFont="1" applyFill="1" applyBorder="1" applyProtection="1">
      <protection locked="0"/>
    </xf>
    <xf numFmtId="1" fontId="8" fillId="6" borderId="16" xfId="0" applyNumberFormat="1" applyFont="1" applyFill="1" applyBorder="1" applyProtection="1">
      <protection locked="0"/>
    </xf>
    <xf numFmtId="0" fontId="8" fillId="6" borderId="17" xfId="0" applyFont="1" applyFill="1" applyBorder="1" applyProtection="1">
      <protection locked="0"/>
    </xf>
    <xf numFmtId="0" fontId="8" fillId="6" borderId="18" xfId="0" applyFont="1" applyFill="1" applyBorder="1" applyProtection="1">
      <protection locked="0"/>
    </xf>
    <xf numFmtId="0" fontId="8" fillId="6" borderId="18" xfId="0" applyFont="1" applyFill="1" applyBorder="1" applyAlignment="1" applyProtection="1">
      <alignment horizontal="center"/>
      <protection locked="0"/>
    </xf>
    <xf numFmtId="0" fontId="8" fillId="6" borderId="15" xfId="0" applyFont="1" applyFill="1" applyBorder="1" applyProtection="1">
      <protection locked="0"/>
    </xf>
    <xf numFmtId="1" fontId="8" fillId="7" borderId="15" xfId="0" applyNumberFormat="1" applyFont="1" applyFill="1" applyBorder="1" applyProtection="1">
      <protection locked="0"/>
    </xf>
    <xf numFmtId="1" fontId="8" fillId="7" borderId="16" xfId="0" applyNumberFormat="1" applyFont="1" applyFill="1" applyBorder="1" applyProtection="1">
      <protection locked="0"/>
    </xf>
    <xf numFmtId="0" fontId="8" fillId="7" borderId="17" xfId="0" applyFont="1" applyFill="1" applyBorder="1" applyProtection="1">
      <protection locked="0"/>
    </xf>
    <xf numFmtId="0" fontId="8" fillId="7" borderId="18" xfId="0" applyFont="1" applyFill="1" applyBorder="1" applyProtection="1">
      <protection locked="0"/>
    </xf>
    <xf numFmtId="0" fontId="8" fillId="7" borderId="18" xfId="0" applyFont="1" applyFill="1" applyBorder="1" applyAlignment="1" applyProtection="1">
      <alignment horizontal="center"/>
      <protection locked="0"/>
    </xf>
    <xf numFmtId="0" fontId="8" fillId="7" borderId="15" xfId="0" applyFont="1" applyFill="1" applyBorder="1" applyProtection="1">
      <protection locked="0"/>
    </xf>
    <xf numFmtId="166" fontId="4" fillId="0" borderId="0" xfId="0" applyNumberFormat="1" applyFont="1" applyAlignment="1">
      <alignment horizontal="left"/>
    </xf>
    <xf numFmtId="0" fontId="0" fillId="0" borderId="0" xfId="0" applyAlignment="1">
      <alignment horizontal="left"/>
    </xf>
    <xf numFmtId="166" fontId="0" fillId="0" borderId="0" xfId="0" applyNumberFormat="1"/>
    <xf numFmtId="166" fontId="3" fillId="0" borderId="0" xfId="0" applyNumberFormat="1" applyFont="1" applyAlignment="1">
      <alignment horizontal="left"/>
    </xf>
    <xf numFmtId="0" fontId="2" fillId="0" borderId="0" xfId="0" applyFont="1"/>
    <xf numFmtId="166" fontId="3" fillId="0" borderId="0" xfId="0" applyNumberFormat="1" applyFont="1"/>
    <xf numFmtId="0" fontId="9" fillId="0" borderId="0" xfId="0" applyFont="1"/>
    <xf numFmtId="0" fontId="9" fillId="0" borderId="0" xfId="0" applyFont="1" applyAlignment="1">
      <alignment horizontal="right"/>
    </xf>
    <xf numFmtId="0" fontId="0" fillId="0" borderId="0" xfId="0" applyAlignment="1">
      <alignment horizontal="right"/>
    </xf>
    <xf numFmtId="0" fontId="10" fillId="0" borderId="0" xfId="0" applyFont="1"/>
    <xf numFmtId="0" fontId="11" fillId="0" borderId="0" xfId="0" applyFont="1"/>
    <xf numFmtId="0" fontId="4" fillId="0" borderId="0" xfId="0" applyFont="1"/>
    <xf numFmtId="0" fontId="2" fillId="8" borderId="4" xfId="0" applyFont="1" applyFill="1" applyBorder="1" applyAlignment="1">
      <alignment horizontal="right" textRotation="90"/>
    </xf>
    <xf numFmtId="0" fontId="2" fillId="0" borderId="4" xfId="0" applyFont="1" applyBorder="1" applyAlignment="1">
      <alignment horizontal="right" textRotation="90"/>
    </xf>
    <xf numFmtId="0" fontId="2" fillId="8" borderId="1" xfId="0" applyFont="1" applyFill="1" applyBorder="1" applyAlignment="1">
      <alignment horizontal="right"/>
    </xf>
    <xf numFmtId="0" fontId="2" fillId="0" borderId="15" xfId="0" applyFont="1" applyBorder="1"/>
    <xf numFmtId="0" fontId="4" fillId="0" borderId="16" xfId="0" applyFont="1" applyBorder="1"/>
    <xf numFmtId="0" fontId="4" fillId="0" borderId="18" xfId="0" applyFont="1" applyBorder="1"/>
    <xf numFmtId="0" fontId="4" fillId="0" borderId="17" xfId="0" applyFont="1" applyBorder="1"/>
    <xf numFmtId="0" fontId="4" fillId="0" borderId="15" xfId="0" applyFont="1" applyBorder="1"/>
    <xf numFmtId="0" fontId="2" fillId="0" borderId="18" xfId="0" applyFont="1" applyBorder="1"/>
    <xf numFmtId="0" fontId="2" fillId="8" borderId="20" xfId="0" applyFont="1" applyFill="1" applyBorder="1" applyAlignment="1">
      <alignment horizontal="right"/>
    </xf>
    <xf numFmtId="0" fontId="2" fillId="0" borderId="1" xfId="0" applyFont="1" applyBorder="1"/>
    <xf numFmtId="0" fontId="4" fillId="0" borderId="19" xfId="0" applyFont="1" applyBorder="1"/>
    <xf numFmtId="0" fontId="4" fillId="0" borderId="6" xfId="0" applyFont="1" applyBorder="1"/>
    <xf numFmtId="0" fontId="2" fillId="0" borderId="20" xfId="0" applyFont="1" applyBorder="1"/>
    <xf numFmtId="0" fontId="4" fillId="0" borderId="4" xfId="0" applyFont="1" applyBorder="1"/>
    <xf numFmtId="0" fontId="4" fillId="0" borderId="20" xfId="0" applyFont="1" applyBorder="1"/>
    <xf numFmtId="0" fontId="2" fillId="0" borderId="19" xfId="0" applyFont="1" applyBorder="1"/>
    <xf numFmtId="0" fontId="4" fillId="0" borderId="5" xfId="0" applyFont="1" applyBorder="1"/>
    <xf numFmtId="2" fontId="2" fillId="0" borderId="0" xfId="0" applyNumberFormat="1" applyFont="1"/>
    <xf numFmtId="164" fontId="2" fillId="0" borderId="0" xfId="0" applyNumberFormat="1" applyFont="1"/>
    <xf numFmtId="2" fontId="3" fillId="0" borderId="0" xfId="0" applyNumberFormat="1" applyFont="1"/>
    <xf numFmtId="0" fontId="2" fillId="0" borderId="1" xfId="0" applyFont="1" applyBorder="1" applyAlignment="1">
      <alignment horizontal="left"/>
    </xf>
    <xf numFmtId="165" fontId="12" fillId="0" borderId="0" xfId="0" applyNumberFormat="1" applyFont="1" applyAlignment="1">
      <alignment horizontal="center"/>
    </xf>
    <xf numFmtId="166" fontId="13" fillId="0" borderId="0" xfId="0" applyNumberFormat="1" applyFont="1"/>
    <xf numFmtId="20" fontId="12" fillId="0" borderId="0" xfId="0" applyNumberFormat="1" applyFont="1"/>
    <xf numFmtId="0" fontId="12" fillId="0" borderId="0" xfId="0" applyFont="1"/>
    <xf numFmtId="0" fontId="12" fillId="0" borderId="0" xfId="0" applyFont="1" applyAlignment="1">
      <alignment horizontal="left"/>
    </xf>
    <xf numFmtId="20" fontId="12" fillId="0" borderId="0" xfId="0" applyNumberFormat="1" applyFont="1" applyAlignment="1">
      <alignment horizontal="left"/>
    </xf>
    <xf numFmtId="0" fontId="3" fillId="0" borderId="0" xfId="0" applyFont="1" applyAlignment="1">
      <alignment horizontal="center"/>
    </xf>
    <xf numFmtId="1" fontId="2" fillId="0" borderId="10" xfId="0" applyNumberFormat="1" applyFont="1" applyBorder="1" applyAlignment="1">
      <alignment horizontal="center"/>
    </xf>
    <xf numFmtId="1" fontId="4" fillId="0" borderId="10" xfId="0" applyNumberFormat="1" applyFont="1" applyBorder="1" applyAlignment="1">
      <alignment horizontal="center"/>
    </xf>
    <xf numFmtId="0" fontId="4" fillId="0" borderId="0" xfId="0" applyFont="1" applyAlignment="1">
      <alignment horizontal="center"/>
    </xf>
    <xf numFmtId="0" fontId="0" fillId="0" borderId="1" xfId="0" applyBorder="1" applyAlignment="1">
      <alignment horizontal="center"/>
    </xf>
    <xf numFmtId="0" fontId="0" fillId="0" borderId="3" xfId="0" applyBorder="1" applyAlignment="1">
      <alignment horizontal="center"/>
    </xf>
    <xf numFmtId="0" fontId="0" fillId="0" borderId="0" xfId="0" applyAlignment="1">
      <alignment horizontal="center"/>
    </xf>
  </cellXfs>
  <cellStyles count="1">
    <cellStyle name="Standard" xfId="0" builtinId="0"/>
  </cellStyles>
  <dxfs count="99">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b/>
        <i val="0"/>
        <color rgb="FFFF0000"/>
      </font>
    </dxf>
    <dxf>
      <font>
        <b/>
        <i val="0"/>
        <color rgb="FF339966"/>
      </font>
    </dxf>
    <dxf>
      <font>
        <b/>
        <i val="0"/>
        <color rgb="FFFFFFFF"/>
      </font>
      <fill>
        <patternFill>
          <bgColor rgb="FF339966"/>
        </patternFill>
      </fill>
    </dxf>
    <dxf>
      <font>
        <b/>
        <i val="0"/>
        <color rgb="FFFF0000"/>
      </font>
    </dxf>
    <dxf>
      <font>
        <b/>
        <i val="0"/>
        <color rgb="FFFFFFFF"/>
      </font>
      <fill>
        <patternFill>
          <bgColor rgb="FF339966"/>
        </patternFill>
      </fill>
    </dxf>
    <dxf>
      <font>
        <b/>
        <i/>
      </font>
    </dxf>
    <dxf>
      <font>
        <b/>
        <i val="0"/>
      </font>
      <fill>
        <patternFill>
          <bgColor rgb="FFC0C0C0"/>
        </patternFill>
      </fill>
    </dxf>
    <dxf>
      <font>
        <b/>
        <i/>
      </font>
    </dxf>
    <dxf>
      <fill>
        <patternFill>
          <bgColor rgb="FFC0C0C0"/>
        </patternFill>
      </fill>
    </dxf>
    <dxf>
      <font>
        <b/>
        <i/>
      </font>
    </dxf>
    <dxf>
      <font>
        <b/>
        <i val="0"/>
      </font>
      <fill>
        <patternFill>
          <bgColor rgb="FFC0C0C0"/>
        </patternFill>
      </fill>
    </dxf>
    <dxf>
      <font>
        <b/>
        <i/>
      </font>
    </dxf>
    <dxf>
      <font>
        <b/>
        <i val="0"/>
      </font>
      <fill>
        <patternFill>
          <bgColor rgb="FFC0C0C0"/>
        </patternFill>
      </fill>
    </dxf>
    <dxf>
      <font>
        <b/>
        <i/>
      </font>
    </dxf>
    <dxf>
      <font>
        <b/>
        <i val="0"/>
      </font>
      <fill>
        <patternFill>
          <bgColor rgb="FFC0C0C0"/>
        </patternFill>
      </fill>
    </dxf>
    <dxf>
      <font>
        <b/>
        <i/>
      </font>
    </dxf>
    <dxf>
      <font>
        <b/>
        <i val="0"/>
      </font>
      <fill>
        <patternFill>
          <bgColor rgb="FFC0C0C0"/>
        </patternFill>
      </fill>
    </dxf>
    <dxf>
      <font>
        <b/>
        <i/>
      </font>
    </dxf>
    <dxf>
      <font>
        <b/>
        <i val="0"/>
      </font>
      <fill>
        <patternFill>
          <bgColor rgb="FFC0C0C0"/>
        </patternFill>
      </fill>
    </dxf>
    <dxf>
      <font>
        <b/>
        <i/>
      </font>
    </dxf>
    <dxf>
      <font>
        <b/>
        <i val="0"/>
      </font>
      <fill>
        <patternFill>
          <bgColor rgb="FFC0C0C0"/>
        </patternFill>
      </fill>
    </dxf>
    <dxf>
      <font>
        <b/>
        <i/>
      </font>
    </dxf>
    <dxf>
      <font>
        <b/>
        <i val="0"/>
      </font>
      <fill>
        <patternFill>
          <bgColor rgb="FFC0C0C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70C0"/>
      <rgbColor rgb="FFB3C992"/>
      <rgbColor rgb="FF000080"/>
      <rgbColor rgb="FFFF00FF"/>
      <rgbColor rgb="FFFFFF00"/>
      <rgbColor rgb="FF00FFFF"/>
      <rgbColor rgb="FF800080"/>
      <rgbColor rgb="FF800000"/>
      <rgbColor rgb="FF00B05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MB510"/>
  <sheetViews>
    <sheetView tabSelected="1" zoomScaleNormal="100" workbookViewId="0">
      <selection activeCell="E252" sqref="E252"/>
    </sheetView>
  </sheetViews>
  <sheetFormatPr baseColWidth="10" defaultColWidth="11.42578125" defaultRowHeight="12.75" x14ac:dyDescent="0.2"/>
  <cols>
    <col min="1" max="1" width="2.42578125" style="1" customWidth="1"/>
    <col min="2" max="2" width="3.7109375" style="1" customWidth="1"/>
    <col min="3" max="3" width="8.7109375" style="2" customWidth="1"/>
    <col min="4" max="4" width="0.85546875" style="3" customWidth="1"/>
    <col min="5" max="5" width="8.7109375" style="2" customWidth="1"/>
    <col min="6" max="6" width="2.42578125" style="4" customWidth="1"/>
    <col min="7" max="7" width="2.42578125" style="3" customWidth="1"/>
    <col min="8" max="8" width="2.42578125" style="2" customWidth="1"/>
    <col min="9" max="22" width="4.42578125" style="3" customWidth="1"/>
    <col min="23" max="23" width="4.42578125" customWidth="1"/>
    <col min="24" max="24" width="2.7109375" style="3" customWidth="1"/>
    <col min="25" max="25" width="10" style="3" customWidth="1"/>
    <col min="26" max="26" width="2.85546875" style="3" customWidth="1"/>
    <col min="27" max="27" width="3.7109375" style="3" customWidth="1"/>
    <col min="28" max="28" width="1.42578125" style="3" customWidth="1"/>
    <col min="29" max="29" width="2.85546875" style="3" customWidth="1"/>
    <col min="30" max="31" width="3.5703125" style="3" customWidth="1"/>
    <col min="32" max="36" width="5.42578125" style="3" customWidth="1"/>
    <col min="37" max="37" width="5.42578125" customWidth="1"/>
    <col min="38" max="39" width="5.42578125" style="5" customWidth="1"/>
    <col min="40" max="44" width="5.42578125" customWidth="1"/>
    <col min="45" max="45" width="5.42578125" style="7" customWidth="1"/>
    <col min="46" max="54" width="5.42578125" customWidth="1"/>
    <col min="55" max="55" width="5.42578125" style="6" customWidth="1"/>
    <col min="56" max="57" width="5.42578125" customWidth="1"/>
    <col min="58" max="58" width="5.42578125" style="6" customWidth="1"/>
    <col min="59" max="59" width="5.42578125" style="7" customWidth="1"/>
    <col min="60" max="60" width="5.42578125" customWidth="1"/>
    <col min="61" max="61" width="5.42578125" style="6" customWidth="1"/>
    <col min="62" max="62" width="5.42578125" style="7" customWidth="1"/>
    <col min="63" max="63" width="5.42578125" customWidth="1"/>
    <col min="64" max="64" width="5.42578125" style="6" customWidth="1"/>
    <col min="65" max="65" width="5.42578125" style="7" customWidth="1"/>
    <col min="66" max="66" width="5.42578125" customWidth="1"/>
    <col min="67" max="67" width="5.42578125" style="6" customWidth="1"/>
    <col min="68" max="68" width="5.42578125" style="7" customWidth="1"/>
    <col min="69" max="69" width="5.42578125" customWidth="1"/>
    <col min="70" max="70" width="5.42578125" style="6" customWidth="1"/>
    <col min="71" max="71" width="5.42578125" style="7" customWidth="1"/>
    <col min="72" max="72" width="5.42578125" customWidth="1"/>
    <col min="73" max="73" width="5.42578125" style="6" customWidth="1"/>
    <col min="74" max="74" width="5.42578125" style="7" customWidth="1"/>
    <col min="75" max="75" width="5.42578125" customWidth="1"/>
    <col min="76" max="76" width="5.42578125" style="6" customWidth="1"/>
    <col min="77" max="77" width="5.42578125" style="7" customWidth="1"/>
    <col min="78" max="78" width="5.42578125" customWidth="1"/>
    <col min="79" max="79" width="5.42578125" style="6" customWidth="1"/>
    <col min="80" max="80" width="5.42578125" style="7" customWidth="1"/>
    <col min="81" max="81" width="5.42578125" customWidth="1"/>
    <col min="82" max="82" width="5.42578125" style="6" customWidth="1"/>
    <col min="83" max="83" width="5.42578125" style="7" customWidth="1"/>
    <col min="84" max="84" width="5.42578125" customWidth="1"/>
    <col min="85" max="85" width="5.42578125" style="6" customWidth="1"/>
    <col min="86" max="86" width="5.42578125" style="7" customWidth="1"/>
    <col min="87" max="87" width="5.42578125" customWidth="1"/>
    <col min="88" max="88" width="5.42578125" style="6" customWidth="1"/>
    <col min="89" max="89" width="5.42578125" style="7" customWidth="1"/>
    <col min="90" max="90" width="5.42578125" customWidth="1"/>
    <col min="91" max="91" width="5.42578125" style="6" customWidth="1"/>
    <col min="92" max="92" width="5.42578125" style="7" customWidth="1"/>
    <col min="93" max="93" width="5.42578125" customWidth="1"/>
    <col min="94" max="94" width="5.42578125" style="6" customWidth="1"/>
    <col min="95" max="95" width="5.42578125" style="7" customWidth="1"/>
    <col min="96" max="96" width="5.42578125" customWidth="1"/>
    <col min="97" max="97" width="5.42578125" style="6" customWidth="1"/>
    <col min="98" max="98" width="5.42578125" style="7" customWidth="1"/>
    <col min="99" max="99" width="5.42578125" customWidth="1"/>
    <col min="100" max="100" width="5.42578125" style="6" customWidth="1"/>
    <col min="101" max="101" width="5.42578125" style="7" customWidth="1"/>
    <col min="102" max="102" width="5.42578125" customWidth="1"/>
    <col min="103" max="103" width="5.42578125" style="6" customWidth="1"/>
    <col min="104" max="104" width="5.42578125" style="7" customWidth="1"/>
    <col min="105" max="105" width="5.42578125" customWidth="1"/>
    <col min="106" max="106" width="5.42578125" style="6" customWidth="1"/>
    <col min="107" max="107" width="5.42578125" style="7" customWidth="1"/>
    <col min="108" max="108" width="5.42578125" customWidth="1"/>
    <col min="109" max="109" width="5.42578125" style="6" customWidth="1"/>
    <col min="110" max="112" width="5.42578125" style="8" customWidth="1"/>
    <col min="113" max="113" width="5.42578125" style="9" customWidth="1"/>
    <col min="114" max="117" width="5.42578125" style="10" customWidth="1"/>
    <col min="118" max="118" width="3.5703125" style="5" customWidth="1"/>
    <col min="119" max="119" width="4.42578125" style="5" customWidth="1"/>
    <col min="120" max="120" width="6.140625" style="5" customWidth="1"/>
    <col min="121" max="121" width="4.42578125" style="5" customWidth="1"/>
    <col min="122" max="122" width="7.85546875" style="5" customWidth="1"/>
    <col min="123" max="124" width="11.42578125" style="5"/>
    <col min="125" max="129" width="3.7109375" style="5" customWidth="1"/>
    <col min="130" max="130" width="9" style="5" customWidth="1"/>
    <col min="131" max="131" width="14" style="5" customWidth="1"/>
    <col min="132" max="133" width="11.42578125" style="5"/>
    <col min="134" max="138" width="3.7109375" style="5" customWidth="1"/>
    <col min="139" max="1016" width="11.42578125" style="5"/>
  </cols>
  <sheetData>
    <row r="1" spans="1:170" ht="11.25" customHeight="1" x14ac:dyDescent="0.2">
      <c r="C1" s="2" t="str">
        <f>Mannschaften!G36</f>
        <v>2025/26</v>
      </c>
      <c r="I1" s="139" t="str">
        <f>ß101</f>
        <v>Kropp</v>
      </c>
      <c r="J1" s="139"/>
      <c r="K1" s="139" t="str">
        <f>ß102</f>
        <v>Nörnberg</v>
      </c>
      <c r="L1" s="139"/>
      <c r="M1" s="139" t="str">
        <f>ß103</f>
        <v>Bübel</v>
      </c>
      <c r="N1" s="139"/>
      <c r="O1" s="139" t="str">
        <f>ß104</f>
        <v>Schwicht.</v>
      </c>
      <c r="P1" s="139"/>
      <c r="Q1" s="139" t="str">
        <f>ß105</f>
        <v>Rontzko.</v>
      </c>
      <c r="R1" s="139"/>
      <c r="S1" s="139" t="str">
        <f>ß106</f>
        <v>Hauschildt</v>
      </c>
      <c r="T1" s="139"/>
      <c r="U1" s="139" t="str">
        <f>ß107</f>
        <v>Zerres</v>
      </c>
      <c r="V1" s="139"/>
      <c r="Z1" s="53"/>
      <c r="AA1" s="53" t="s">
        <v>27</v>
      </c>
      <c r="AB1" s="53"/>
      <c r="AC1" s="53" t="s">
        <v>28</v>
      </c>
      <c r="AD1" s="53" t="s">
        <v>29</v>
      </c>
      <c r="AE1" s="53" t="s">
        <v>30</v>
      </c>
      <c r="AF1" s="11"/>
      <c r="AG1" s="11"/>
      <c r="AH1" s="2" t="s">
        <v>0</v>
      </c>
      <c r="AI1" s="135" t="s">
        <v>1</v>
      </c>
      <c r="AJ1" s="11"/>
      <c r="AL1" s="5" t="str">
        <f>IF($I14=$AL14,I1,"x")</f>
        <v>Kropp</v>
      </c>
      <c r="AM1" s="5" t="str">
        <f>IF($K14=$AL14,K1,"x")</f>
        <v>Nörnberg</v>
      </c>
      <c r="AN1" s="5" t="str">
        <f>IF($M14=$AL14,M1,"x")</f>
        <v>Bübel</v>
      </c>
      <c r="AO1" s="5" t="str">
        <f>IF($O14=$AL14,O1,"x")</f>
        <v>Schwicht.</v>
      </c>
      <c r="AP1" s="5" t="str">
        <f>IF($Q14=$AL14,Q1,"x")</f>
        <v>Rontzko.</v>
      </c>
      <c r="AQ1" s="5" t="str">
        <f>IF($S14=$AL14,S1,"x")</f>
        <v>Hauschildt</v>
      </c>
      <c r="AR1" s="5" t="str">
        <f>IF($U14=$AL14,U1,"x")</f>
        <v>Zerres</v>
      </c>
      <c r="AS1" s="13" t="str">
        <f>IF($I14=$AM14,I1,"x")</f>
        <v>Kropp</v>
      </c>
      <c r="AT1" s="5" t="str">
        <f>IF($K14=$AM14,K1,"x")</f>
        <v>Nörnberg</v>
      </c>
      <c r="AU1" s="5" t="str">
        <f>IF($M14=$AM14,M1,"x")</f>
        <v>Bübel</v>
      </c>
      <c r="AV1" s="5" t="str">
        <f>IF($O14=$AM14,O1,"x")</f>
        <v>Schwicht.</v>
      </c>
      <c r="AW1" s="5" t="str">
        <f>IF($Q14=$AM14,Q1,"x")</f>
        <v>Rontzko.</v>
      </c>
      <c r="AX1" s="5" t="str">
        <f>IF($S14=$AM14,S1,"x")</f>
        <v>Hauschildt</v>
      </c>
      <c r="AY1" s="5" t="str">
        <f>IF($U14=$AM14,U1,"x")</f>
        <v>Zerres</v>
      </c>
      <c r="BC1" s="14"/>
      <c r="BD1" s="140" t="str">
        <f>ß01</f>
        <v>Bayern</v>
      </c>
      <c r="BE1" s="140"/>
      <c r="BF1" s="140"/>
      <c r="BG1" s="141" t="str">
        <f>ß02</f>
        <v>Leipzig</v>
      </c>
      <c r="BH1" s="141"/>
      <c r="BI1" s="141"/>
      <c r="BJ1" s="141" t="str">
        <f>ß03</f>
        <v>Leverk.</v>
      </c>
      <c r="BK1" s="141"/>
      <c r="BL1" s="141"/>
      <c r="BM1" s="141" t="str">
        <f>ß04</f>
        <v>Hoffenheim</v>
      </c>
      <c r="BN1" s="141"/>
      <c r="BO1" s="141"/>
      <c r="BP1" s="141" t="str">
        <f>ß05</f>
        <v>Frankfurt</v>
      </c>
      <c r="BQ1" s="141"/>
      <c r="BR1" s="141"/>
      <c r="BS1" s="141" t="str">
        <f>ß06</f>
        <v>Werder</v>
      </c>
      <c r="BT1" s="141"/>
      <c r="BU1" s="141"/>
      <c r="BV1" s="141" t="str">
        <f>ß07</f>
        <v>Freiburg</v>
      </c>
      <c r="BW1" s="141"/>
      <c r="BX1" s="141"/>
      <c r="BY1" s="141" t="str">
        <f>ß08</f>
        <v>Augsburg</v>
      </c>
      <c r="BZ1" s="141"/>
      <c r="CA1" s="141"/>
      <c r="CB1" s="141" t="str">
        <f>ß09</f>
        <v>Mainz</v>
      </c>
      <c r="CC1" s="141"/>
      <c r="CD1" s="141"/>
      <c r="CE1" s="141" t="str">
        <f>ß10</f>
        <v>Köln</v>
      </c>
      <c r="CF1" s="141"/>
      <c r="CG1" s="141"/>
      <c r="CH1" s="141" t="str">
        <f>ß11</f>
        <v>M'gladb.</v>
      </c>
      <c r="CI1" s="141"/>
      <c r="CJ1" s="141"/>
      <c r="CK1" s="141" t="str">
        <f>ß12</f>
        <v>HSV</v>
      </c>
      <c r="CL1" s="141"/>
      <c r="CM1" s="141"/>
      <c r="CN1" s="141" t="str">
        <f>ß13</f>
        <v>Union</v>
      </c>
      <c r="CO1" s="141"/>
      <c r="CP1" s="141"/>
      <c r="CQ1" s="141" t="str">
        <f>ß14</f>
        <v>Stuttgart</v>
      </c>
      <c r="CR1" s="141"/>
      <c r="CS1" s="141"/>
      <c r="CT1" s="141" t="str">
        <f>ß15</f>
        <v>St. Pauli</v>
      </c>
      <c r="CU1" s="141"/>
      <c r="CV1" s="141"/>
      <c r="CW1" s="141" t="str">
        <f>ß16</f>
        <v>Dortmund</v>
      </c>
      <c r="CX1" s="141"/>
      <c r="CY1" s="141"/>
      <c r="CZ1" s="141" t="str">
        <f>ß17</f>
        <v>Heidenheim</v>
      </c>
      <c r="DA1" s="141"/>
      <c r="DB1" s="141"/>
      <c r="DC1" s="141" t="str">
        <f>ß18</f>
        <v>Wolfsburg</v>
      </c>
      <c r="DD1" s="141"/>
      <c r="DE1" s="141"/>
      <c r="DN1" s="12"/>
      <c r="DS1" s="5">
        <f>IF(DZ1&lt;DZ2,1,0)+IF(DZ1&lt;DZ3,1,0)+IF(DZ1&lt;DZ4,1,0)+IF(DZ1&lt;DZ5,1,0)+IF(DZ1&lt;DZ6,1,0)+IF(DZ1&lt;DZ7,1,0)+IF(DZ1&lt;DZ8,1,0)+IF(DZ1&lt;DZ9,1,0)+IF(DZ1&lt;DZ10,1,0)+IF(DZ1&lt;DZ11,1,0)+IF(DZ1&lt;DZ12,1,0)+IF(DZ1&lt;DZ13,1,0)+IF(DZ1&lt;DZ14,1,0)+IF(DZ1&lt;DZ15,1,0)+IF(DZ1&lt;DZ16,1,0)+IF(DZ1&lt;DZ17,1,0)+IF(DZ1&lt;DZ18,1,0)</f>
        <v>17</v>
      </c>
      <c r="DT1" s="5" t="str">
        <f>ß01</f>
        <v>Bayern</v>
      </c>
      <c r="DU1" s="5">
        <f t="shared" ref="DU1:DU18" si="0">SUMIF($C$3:$C$506,$DT1,$DR$3:$DR$506)+SUMIF($E$3:$E$506,$DT1,$DR$3:$DR$506)</f>
        <v>0</v>
      </c>
      <c r="DV1" s="5">
        <f t="shared" ref="DV1:DV18" si="1">SUMIF($C$3:$C$506,$DT1,$DP$3:$DP$506)+SUMIF($E$3:$E$506,$DT1,$DQ$3:$DQ$506)</f>
        <v>0</v>
      </c>
      <c r="DW1" s="5">
        <f t="shared" ref="DW1:DW18" si="2">SUMIF($C$3:$C$506,$DT1,$DN$3:$DN$506)+SUMIF($E$3:$E$506,$DT1,$DO$3:$DO$506)</f>
        <v>0</v>
      </c>
      <c r="DX1" s="5">
        <f t="shared" ref="DX1:DX18" si="3">SUMIF($C$3:$C$506,$DT1,$DO$3:$DO$506)+SUMIF($E$3:$E$506,$DT1,$DN$3:$DN$506)</f>
        <v>0</v>
      </c>
      <c r="DY1" s="5">
        <f t="shared" ref="DY1:DY18" si="4">DW1-DX1</f>
        <v>0</v>
      </c>
      <c r="DZ1" s="5">
        <f>DV1*1000000+(DW1-DX1)*1000+DW1+0.01</f>
        <v>0.01</v>
      </c>
      <c r="EB1" s="5">
        <v>1</v>
      </c>
      <c r="EC1" s="5" t="str">
        <f>VLOOKUP(0,$DS$1:$DY$18,2,FALSE())</f>
        <v>Wolfsburg</v>
      </c>
      <c r="ED1" s="5">
        <f>VLOOKUP(0,$DS$1:$DY$18,3,FALSE())</f>
        <v>0</v>
      </c>
      <c r="EE1" s="5">
        <f>VLOOKUP(0,$DS$1:$DY$18,5,FALSE())</f>
        <v>0</v>
      </c>
      <c r="EF1" s="5">
        <f>VLOOKUP(0,$DS$1:$DY$18,6,FALSE())</f>
        <v>0</v>
      </c>
      <c r="EG1" s="5">
        <f>VLOOKUP(0,$DS$1:$DY$18,7,FALSE())</f>
        <v>0</v>
      </c>
      <c r="EH1" s="5">
        <f>VLOOKUP(0,$DS$1:$DY$18,4,FALSE())</f>
        <v>0</v>
      </c>
    </row>
    <row r="2" spans="1:170" s="21" customFormat="1" ht="11.25" customHeight="1" x14ac:dyDescent="0.2">
      <c r="A2" s="1"/>
      <c r="B2" s="1"/>
      <c r="C2" s="16" t="str">
        <f>Mannschaften!F1</f>
        <v>1. Spieltag</v>
      </c>
      <c r="D2" s="11"/>
      <c r="E2" s="17" t="str">
        <f>Mannschaften!G1</f>
        <v>22.-24.8.25</v>
      </c>
      <c r="F2" s="18"/>
      <c r="G2" s="11"/>
      <c r="H2" s="16"/>
      <c r="I2" s="19">
        <f>RANK(Rang!A1,Rang!A1:G1)</f>
        <v>1</v>
      </c>
      <c r="J2" s="20">
        <f>RANK(Rang!H1,Rang!H1:N1)</f>
        <v>1</v>
      </c>
      <c r="K2" s="19">
        <f>RANK(Rang!B1,Rang!A1:G1)</f>
        <v>1</v>
      </c>
      <c r="L2" s="20">
        <f>RANK(Rang!I1,Rang!H1:N1)</f>
        <v>1</v>
      </c>
      <c r="M2" s="19">
        <f>RANK(Rang!C1,Rang!A1:G1)</f>
        <v>1</v>
      </c>
      <c r="N2" s="20">
        <f>RANK(Rang!J1,Rang!H1:N1)</f>
        <v>1</v>
      </c>
      <c r="O2" s="19">
        <f>RANK(Rang!D1,Rang!A1:G1)</f>
        <v>1</v>
      </c>
      <c r="P2" s="20">
        <f>RANK(Rang!K1,Rang!H1:N1)</f>
        <v>1</v>
      </c>
      <c r="Q2" s="19">
        <f>RANK(Rang!E1,Rang!A1:G1)</f>
        <v>1</v>
      </c>
      <c r="R2" s="20">
        <f>RANK(Rang!L1,Rang!H1:N1)</f>
        <v>1</v>
      </c>
      <c r="S2" s="19">
        <f>RANK(Rang!F1,Rang!A1:G1)</f>
        <v>1</v>
      </c>
      <c r="T2" s="20">
        <f>RANK(Rang!M1,Rang!H1:N1)</f>
        <v>1</v>
      </c>
      <c r="U2" s="19">
        <f>RANK(Rang!G1,Rang!A1:G1)</f>
        <v>1</v>
      </c>
      <c r="V2" s="20">
        <f>RANK(Rang!N1,Rang!H1:N1)</f>
        <v>1</v>
      </c>
      <c r="X2" s="54"/>
      <c r="Y2" s="55"/>
      <c r="Z2" s="56"/>
      <c r="AA2" s="57">
        <f>$EE$1</f>
        <v>0</v>
      </c>
      <c r="AB2" s="58" t="s">
        <v>12</v>
      </c>
      <c r="AC2" s="56">
        <f>$EF$1</f>
        <v>0</v>
      </c>
      <c r="AD2" s="56">
        <f>$EG$1</f>
        <v>0</v>
      </c>
      <c r="AE2" s="56">
        <f>$EH$1</f>
        <v>0</v>
      </c>
      <c r="AF2" s="22"/>
      <c r="AG2" s="22"/>
      <c r="AH2" s="100" t="s">
        <v>2</v>
      </c>
      <c r="AI2" s="132" t="s">
        <v>3</v>
      </c>
      <c r="AJ2" s="22"/>
      <c r="AS2" s="24"/>
      <c r="BC2" s="14"/>
      <c r="BD2" s="25" t="s">
        <v>4</v>
      </c>
      <c r="BE2" s="25" t="s">
        <v>5</v>
      </c>
      <c r="BF2" s="26" t="s">
        <v>6</v>
      </c>
      <c r="BG2" s="27" t="s">
        <v>4</v>
      </c>
      <c r="BH2" s="25" t="s">
        <v>5</v>
      </c>
      <c r="BI2" s="26" t="s">
        <v>6</v>
      </c>
      <c r="BJ2" s="27" t="s">
        <v>4</v>
      </c>
      <c r="BK2" s="25" t="s">
        <v>5</v>
      </c>
      <c r="BL2" s="26" t="s">
        <v>6</v>
      </c>
      <c r="BM2" s="27" t="s">
        <v>4</v>
      </c>
      <c r="BN2" s="25" t="s">
        <v>5</v>
      </c>
      <c r="BO2" s="26" t="s">
        <v>6</v>
      </c>
      <c r="BP2" s="27" t="s">
        <v>4</v>
      </c>
      <c r="BQ2" s="25" t="s">
        <v>5</v>
      </c>
      <c r="BR2" s="26" t="s">
        <v>6</v>
      </c>
      <c r="BS2" s="27" t="s">
        <v>4</v>
      </c>
      <c r="BT2" s="25" t="s">
        <v>5</v>
      </c>
      <c r="BU2" s="26" t="s">
        <v>6</v>
      </c>
      <c r="BV2" s="27" t="s">
        <v>4</v>
      </c>
      <c r="BW2" s="25" t="s">
        <v>5</v>
      </c>
      <c r="BX2" s="26" t="s">
        <v>6</v>
      </c>
      <c r="BY2" s="27" t="s">
        <v>4</v>
      </c>
      <c r="BZ2" s="25" t="s">
        <v>5</v>
      </c>
      <c r="CA2" s="26" t="s">
        <v>6</v>
      </c>
      <c r="CB2" s="27" t="s">
        <v>4</v>
      </c>
      <c r="CC2" s="25" t="s">
        <v>5</v>
      </c>
      <c r="CD2" s="26" t="s">
        <v>6</v>
      </c>
      <c r="CE2" s="27" t="s">
        <v>4</v>
      </c>
      <c r="CF2" s="25" t="s">
        <v>5</v>
      </c>
      <c r="CG2" s="26" t="s">
        <v>6</v>
      </c>
      <c r="CH2" s="27" t="s">
        <v>4</v>
      </c>
      <c r="CI2" s="25" t="s">
        <v>5</v>
      </c>
      <c r="CJ2" s="26" t="s">
        <v>6</v>
      </c>
      <c r="CK2" s="27" t="s">
        <v>4</v>
      </c>
      <c r="CL2" s="25" t="s">
        <v>5</v>
      </c>
      <c r="CM2" s="26" t="s">
        <v>6</v>
      </c>
      <c r="CN2" s="27" t="s">
        <v>4</v>
      </c>
      <c r="CO2" s="25" t="s">
        <v>5</v>
      </c>
      <c r="CP2" s="26" t="s">
        <v>6</v>
      </c>
      <c r="CQ2" s="27" t="s">
        <v>4</v>
      </c>
      <c r="CR2" s="25" t="s">
        <v>5</v>
      </c>
      <c r="CS2" s="26" t="s">
        <v>6</v>
      </c>
      <c r="CT2" s="27" t="s">
        <v>4</v>
      </c>
      <c r="CU2" s="25" t="s">
        <v>5</v>
      </c>
      <c r="CV2" s="26" t="s">
        <v>6</v>
      </c>
      <c r="CW2" s="27" t="s">
        <v>4</v>
      </c>
      <c r="CX2" s="25" t="s">
        <v>5</v>
      </c>
      <c r="CY2" s="26" t="s">
        <v>6</v>
      </c>
      <c r="CZ2" s="27" t="s">
        <v>4</v>
      </c>
      <c r="DA2" s="25" t="s">
        <v>5</v>
      </c>
      <c r="DB2" s="26" t="s">
        <v>6</v>
      </c>
      <c r="DC2" s="27" t="s">
        <v>4</v>
      </c>
      <c r="DD2" s="25" t="s">
        <v>5</v>
      </c>
      <c r="DE2" s="26" t="s">
        <v>6</v>
      </c>
      <c r="DN2" s="136" t="s">
        <v>7</v>
      </c>
      <c r="DO2" s="136"/>
      <c r="DP2" s="136" t="s">
        <v>8</v>
      </c>
      <c r="DQ2" s="136"/>
      <c r="DR2" s="28" t="s">
        <v>9</v>
      </c>
      <c r="DS2" s="5">
        <f>IF(DZ2&lt;DZ1,1,0)+IF(DZ2&lt;DZ3,1,0)+IF(DZ2&lt;DZ4,1,0)+IF(DZ2&lt;DZ5,1,0)+IF(DZ2&lt;DZ6,1,0)+IF(DZ2&lt;DZ7,1,0)+IF(DZ2&lt;DZ8,1,0)+IF(DZ2&lt;DZ9,1,0)+IF(DZ2&lt;DZ10,1,0)+IF(DZ2&lt;DZ11,1,0)+IF(DZ2&lt;DZ12,1,0)+IF(DZ2&lt;DZ13,1,0)+IF(DZ2&lt;DZ14,1,0)+IF(DZ2&lt;DZ15,1,0)+IF(DZ2&lt;DZ16,1,0)+IF(DZ2&lt;DZ17,1,0)+IF(DZ2&lt;DZ18,1,0)</f>
        <v>16</v>
      </c>
      <c r="DT2" s="5" t="str">
        <f>ß02</f>
        <v>Leipzig</v>
      </c>
      <c r="DU2" s="5">
        <f t="shared" si="0"/>
        <v>0</v>
      </c>
      <c r="DV2" s="5">
        <f t="shared" si="1"/>
        <v>0</v>
      </c>
      <c r="DW2" s="5">
        <f t="shared" si="2"/>
        <v>0</v>
      </c>
      <c r="DX2" s="5">
        <f t="shared" si="3"/>
        <v>0</v>
      </c>
      <c r="DY2" s="5">
        <f t="shared" si="4"/>
        <v>0</v>
      </c>
      <c r="DZ2" s="5">
        <f>DV2*1000000+(DW2-DX2)*1000+DW2+0.02</f>
        <v>0.02</v>
      </c>
      <c r="EA2" s="5"/>
      <c r="EB2" s="5">
        <v>2</v>
      </c>
      <c r="EC2" s="5" t="str">
        <f>VLOOKUP(1,$DS$1:$DY$18,2,FALSE())</f>
        <v>Heidenheim</v>
      </c>
      <c r="ED2" s="5">
        <f>VLOOKUP(1,$DS$1:$DY$18,3,FALSE())</f>
        <v>0</v>
      </c>
      <c r="EE2" s="5">
        <f>VLOOKUP(1,$DS$1:$DY$18,5,FALSE())</f>
        <v>0</v>
      </c>
      <c r="EF2" s="5">
        <f>VLOOKUP(1,$DS$1:$DY$18,6,FALSE())</f>
        <v>0</v>
      </c>
      <c r="EG2" s="5">
        <f>VLOOKUP(1,$DS$1:$DY$18,7,FALSE())</f>
        <v>0</v>
      </c>
      <c r="EH2" s="5">
        <f>VLOOKUP(1,$DS$1:$DY$18,4,FALSE())</f>
        <v>0</v>
      </c>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row>
    <row r="3" spans="1:170" ht="11.25" customHeight="1" x14ac:dyDescent="0.2">
      <c r="A3" s="1" t="s">
        <v>0</v>
      </c>
      <c r="B3" s="1" t="s">
        <v>18</v>
      </c>
      <c r="C3" s="2" t="str">
        <f>ß01</f>
        <v>Bayern</v>
      </c>
      <c r="D3" s="3" t="s">
        <v>11</v>
      </c>
      <c r="E3" s="2" t="str">
        <f>ß02</f>
        <v>Leipzig</v>
      </c>
      <c r="F3" s="29"/>
      <c r="G3" s="3" t="s">
        <v>12</v>
      </c>
      <c r="H3" s="30"/>
      <c r="I3" s="31"/>
      <c r="J3" s="32" t="str">
        <f t="shared" ref="J3:J11" si="5">IF($F3="","",(IF(I3="","",IF(I3=$DG3,(VLOOKUP($DH3,$DJ$3:$DK$11,2,FALSE())),0))))</f>
        <v/>
      </c>
      <c r="K3" s="31"/>
      <c r="L3" s="32" t="str">
        <f t="shared" ref="L3:L11" si="6">IF($F3="","",(IF(K3="","",IF(K3=$DG3,(VLOOKUP($DH3,$DJ$3:$DK$11,2,FALSE())),0))))</f>
        <v/>
      </c>
      <c r="M3" s="31"/>
      <c r="N3" s="32" t="str">
        <f t="shared" ref="N3:N11" si="7">IF($F3="","",(IF(M3="","",IF(M3=$DG3,(VLOOKUP($DH3,$DJ$3:$DK$11,2,FALSE())),0))))</f>
        <v/>
      </c>
      <c r="O3" s="31"/>
      <c r="P3" s="32" t="str">
        <f t="shared" ref="P3:P11" si="8">IF($F3="","",(IF(O3="","",IF(O3=$DG3,(VLOOKUP($DH3,$DJ$3:$DK$11,2,FALSE())),0))))</f>
        <v/>
      </c>
      <c r="Q3" s="31"/>
      <c r="R3" s="32" t="str">
        <f t="shared" ref="R3:R11" si="9">IF($F3="","",(IF(Q3="","",IF(Q3=$DG3,(VLOOKUP($DH3,$DJ$3:$DK$11,2,FALSE())),0))))</f>
        <v/>
      </c>
      <c r="S3" s="31"/>
      <c r="T3" s="32" t="str">
        <f t="shared" ref="T3:T11" si="10">IF($F3="","",(IF(S3="","",IF(S3=$DG3,(VLOOKUP($DH3,$DJ$3:$DK$11,2,FALSE())),0))))</f>
        <v/>
      </c>
      <c r="U3" s="31"/>
      <c r="V3" s="32" t="str">
        <f t="shared" ref="V3:V11" si="11">IF($F3="","",(IF(U3="","",IF(U3=$DG3,(VLOOKUP($DH3,$DJ$3:$DK$11,2,FALSE())),0))))</f>
        <v/>
      </c>
      <c r="X3" s="54"/>
      <c r="Y3" s="55"/>
      <c r="Z3" s="56"/>
      <c r="AA3" s="57">
        <f>$EE$2</f>
        <v>0</v>
      </c>
      <c r="AB3" s="58" t="s">
        <v>12</v>
      </c>
      <c r="AC3" s="56">
        <f>$EF$2</f>
        <v>0</v>
      </c>
      <c r="AD3" s="56">
        <f>$EG$2</f>
        <v>0</v>
      </c>
      <c r="AE3" s="56">
        <f>$EH$2</f>
        <v>0</v>
      </c>
      <c r="AF3" s="34"/>
      <c r="AG3" s="34"/>
      <c r="AH3" s="100" t="s">
        <v>13</v>
      </c>
      <c r="AI3" s="133" t="s">
        <v>14</v>
      </c>
      <c r="AJ3" s="34"/>
      <c r="AN3" s="5"/>
      <c r="AO3" s="5"/>
      <c r="AP3" s="5"/>
      <c r="AQ3" s="5"/>
      <c r="AR3" s="5"/>
      <c r="AS3" s="13"/>
      <c r="AT3" s="5"/>
      <c r="AU3" s="5"/>
      <c r="AV3" s="5"/>
      <c r="AW3" s="5"/>
      <c r="AX3" s="5"/>
      <c r="AY3" s="5"/>
      <c r="BC3" s="14">
        <v>2</v>
      </c>
      <c r="BD3" s="35">
        <f>IF(ISERROR(MATCH(ß01,$C3:$C11,0)),"",MATCH(ß01,$C3:$C11,0))</f>
        <v>1</v>
      </c>
      <c r="BE3" s="35" t="str">
        <f>IF(ISERROR(MATCH(ß01,$E3:$E11,0)),"",MATCH(ß01,$E3:$E11,0))</f>
        <v/>
      </c>
      <c r="BF3" s="15">
        <f>SUM(BD3:BE3)+BC3</f>
        <v>3</v>
      </c>
      <c r="BG3" s="36" t="str">
        <f>IF(ISERROR(MATCH(ß02,$C3:$C11,0)),"",MATCH(ß02,$C3:$C11,0))</f>
        <v/>
      </c>
      <c r="BH3" s="35">
        <f>IF(ISERROR(MATCH(ß02,$E3:$E11,0)),"",MATCH(ß02,$E3:$E11,0))</f>
        <v>1</v>
      </c>
      <c r="BI3" s="15">
        <f>SUM(BG3:BH3)+BC3</f>
        <v>3</v>
      </c>
      <c r="BJ3" s="36">
        <f>IF(ISERROR(MATCH(ß03,$C3:$C11,0)),"",MATCH(ß03,$C3:$C11,0))</f>
        <v>2</v>
      </c>
      <c r="BK3" s="35" t="str">
        <f>IF(ISERROR(MATCH(ß03,$E3:$E11,0)),"",MATCH(ß03,$E3:$E11,0))</f>
        <v/>
      </c>
      <c r="BL3" s="15">
        <f>SUM(BJ3:BK3)+BC3</f>
        <v>4</v>
      </c>
      <c r="BM3" s="36" t="str">
        <f>IF(ISERROR(MATCH(ß04,$C3:$C11,0)),"",MATCH(ß04,$C3:$C11,0))</f>
        <v/>
      </c>
      <c r="BN3" s="35">
        <f>IF(ISERROR(MATCH(ß04,$E3:$E11,0)),"",MATCH(ß04,$E3:$E11,0))</f>
        <v>2</v>
      </c>
      <c r="BO3" s="15">
        <f>SUM(BM3:BN3)+BC3</f>
        <v>4</v>
      </c>
      <c r="BP3" s="36">
        <f>IF(ISERROR(MATCH(ß05,$C3:$C11,0)),"",MATCH(ß05,$C3:$C11,0))</f>
        <v>3</v>
      </c>
      <c r="BQ3" s="35" t="str">
        <f>IF(ISERROR(MATCH(ß05,$E3:$E11,0)),"",MATCH(ß05,$E3:$E11,0))</f>
        <v/>
      </c>
      <c r="BR3" s="15">
        <f>SUM(BP3:BQ3)+BC3</f>
        <v>5</v>
      </c>
      <c r="BS3" s="36" t="str">
        <f>IF(ISERROR(MATCH(ß06,$C3:$C11,0)),"",MATCH(ß06,$C3:$C11,0))</f>
        <v/>
      </c>
      <c r="BT3" s="35">
        <f>IF(ISERROR(MATCH(ß06,$E3:$E11,0)),"",MATCH(ß06,$E3:$E11,0))</f>
        <v>3</v>
      </c>
      <c r="BU3" s="15">
        <f>SUM(BS3:BT3)+BC3</f>
        <v>5</v>
      </c>
      <c r="BV3" s="36">
        <f>IF(ISERROR(MATCH(ß07,$C3:$C11,0)),"",MATCH(ß07,$C3:$C11,0))</f>
        <v>4</v>
      </c>
      <c r="BW3" s="35" t="str">
        <f>IF(ISERROR(MATCH(ß07,$E3:$E11,0)),"",MATCH(ß07,$E3:$E11,0))</f>
        <v/>
      </c>
      <c r="BX3" s="15">
        <f>SUM(BV3:BW3)+BC3</f>
        <v>6</v>
      </c>
      <c r="BY3" s="36" t="str">
        <f>IF(ISERROR(MATCH(ß08,$C3:$C11,0)),"",MATCH(ß08,$C3:$C11,0))</f>
        <v/>
      </c>
      <c r="BZ3" s="35">
        <f>IF(ISERROR(MATCH(ß08,$E3:$E11,0)),"",MATCH(ß08,$E3:$E11,0))</f>
        <v>4</v>
      </c>
      <c r="CA3" s="15">
        <f>SUM(BY3:BZ3)+BC3</f>
        <v>6</v>
      </c>
      <c r="CB3" s="36">
        <f>IF(ISERROR(MATCH(ß09,$C3:$C11,0)),"",MATCH(ß09,$C3:$C11,0))</f>
        <v>5</v>
      </c>
      <c r="CC3" s="35" t="str">
        <f>IF(ISERROR(MATCH(ß09,$E3:$E11,0)),"",MATCH(ß09,$E3:$E11,0))</f>
        <v/>
      </c>
      <c r="CD3" s="15">
        <f>SUM(CB3:CC3)+BC3</f>
        <v>7</v>
      </c>
      <c r="CE3" s="36" t="str">
        <f>IF(ISERROR(MATCH(ß10,$C3:$C11,0)),"",MATCH(ß10,$C3:$C11,0))</f>
        <v/>
      </c>
      <c r="CF3" s="35">
        <f>IF(ISERROR(MATCH(ß10,$E3:$E11,0)),"",MATCH(ß10,$E3:$E11,0))</f>
        <v>5</v>
      </c>
      <c r="CG3" s="15">
        <f>SUM(CE3:CF3)+BC3</f>
        <v>7</v>
      </c>
      <c r="CH3" s="36">
        <f>IF(ISERROR(MATCH(ß11,$C3:$C11,0)),"",MATCH(ß11,$C3:$C11,0))</f>
        <v>6</v>
      </c>
      <c r="CI3" s="35" t="str">
        <f>IF(ISERROR(MATCH(ß11,$E3:$E11,0)),"",MATCH(ß11,$E3:$E11,0))</f>
        <v/>
      </c>
      <c r="CJ3" s="15">
        <f>SUM(CH3:CI3)+BC3</f>
        <v>8</v>
      </c>
      <c r="CK3" s="36" t="str">
        <f>IF(ISERROR(MATCH(ß12,$C3:$C11,0)),"",MATCH(ß12,$C3:$C11,0))</f>
        <v/>
      </c>
      <c r="CL3" s="35">
        <f>IF(ISERROR(MATCH(ß12,$E3:$E11,0)),"",MATCH(ß12,$E3:$E11,0))</f>
        <v>6</v>
      </c>
      <c r="CM3" s="15">
        <f>SUM(CK3:CL3)+BC3</f>
        <v>8</v>
      </c>
      <c r="CN3" s="36">
        <f>IF(ISERROR(MATCH(ß13,$C3:$C11,0)),"",MATCH(ß13,$C3:$C11,0))</f>
        <v>7</v>
      </c>
      <c r="CO3" s="35" t="str">
        <f>IF(ISERROR(MATCH(ß13,$E3:$E11,0)),"",MATCH(ß13,$E3:$E11,0))</f>
        <v/>
      </c>
      <c r="CP3" s="15">
        <f>SUM(CN3:CO3)+BC3</f>
        <v>9</v>
      </c>
      <c r="CQ3" s="36" t="str">
        <f>IF(ISERROR(MATCH(ß14,$C3:$C11,0)),"",MATCH(ß14,$C3:$C11,0))</f>
        <v/>
      </c>
      <c r="CR3" s="35">
        <f>IF(ISERROR(MATCH(ß14,$E3:$E11,0)),"",MATCH(ß14,$E3:$E11,0))</f>
        <v>7</v>
      </c>
      <c r="CS3" s="15">
        <f>SUM(CQ3:CR3)+BC3</f>
        <v>9</v>
      </c>
      <c r="CT3" s="36">
        <f>IF(ISERROR(MATCH(ß15,$C3:$C11,0)),"",MATCH(ß15,$C3:$C11,0))</f>
        <v>8</v>
      </c>
      <c r="CU3" s="35" t="str">
        <f>IF(ISERROR(MATCH(ß15,$E3:$E11,0)),"",MATCH(ß15,$E3:$E11,0))</f>
        <v/>
      </c>
      <c r="CV3" s="15">
        <f>SUM(CT3:CU3)+BC3</f>
        <v>10</v>
      </c>
      <c r="CW3" s="36" t="str">
        <f>IF(ISERROR(MATCH(ß16,$C3:$C11,0)),"",MATCH(ß16,$C3:$C11,0))</f>
        <v/>
      </c>
      <c r="CX3" s="35">
        <f>IF(ISERROR(MATCH(ß16,$E3:$E11,0)),"",MATCH(ß16,$E3:$E11,0))</f>
        <v>8</v>
      </c>
      <c r="CY3" s="15">
        <f>SUM(CW3:CX3)+BC3</f>
        <v>10</v>
      </c>
      <c r="CZ3" s="36">
        <f>IF(ISERROR(MATCH(ß17,$C3:$C11,0)),"",MATCH(ß17,$C3:$C11,0))</f>
        <v>9</v>
      </c>
      <c r="DA3" s="35" t="str">
        <f>IF(ISERROR(MATCH(ß17,$E3:$E11,0)),"",MATCH(ß17,$E3:$E11,0))</f>
        <v/>
      </c>
      <c r="DB3" s="15">
        <f>SUM(CZ3:DA3)+BC3</f>
        <v>11</v>
      </c>
      <c r="DC3" s="36" t="str">
        <f>IF(ISERROR(MATCH(ß18,$C3:$C11,0)),"",MATCH(ß18,$C3:$C11,0))</f>
        <v/>
      </c>
      <c r="DD3" s="35">
        <f>IF(ISERROR(MATCH(ß18,$E3:$E11,0)),"",MATCH(ß18,$E3:$E11,0))</f>
        <v>9</v>
      </c>
      <c r="DE3" s="15">
        <f>SUM(DC3:DD3)+BC3</f>
        <v>11</v>
      </c>
      <c r="DG3" s="8" t="str">
        <f t="shared" ref="DG3:DG11" si="12">IF(F3="","",(IF(F3=H3,0,IF(F3&gt;H3,1,IF(F3&lt;H3,2)))))</f>
        <v/>
      </c>
      <c r="DH3" s="3">
        <f>COUNTIF(I3,DG3)+COUNTIF(K3,DG3)+COUNTIF(M3,DG3)+COUNTIF(O3,DG3)+COUNTIF(Q3,DG3)+COUNTIF(S3,DG3)+COUNTIF(U3,DG3)</f>
        <v>7</v>
      </c>
      <c r="DI3" s="3"/>
      <c r="DJ3" s="3">
        <v>1</v>
      </c>
      <c r="DK3" s="3">
        <v>7</v>
      </c>
      <c r="DN3" s="12">
        <f t="shared" ref="DN3:DN11" si="13">F3</f>
        <v>0</v>
      </c>
      <c r="DO3" s="5">
        <f t="shared" ref="DO3:DO11" si="14">H3</f>
        <v>0</v>
      </c>
      <c r="DP3" s="5" t="str">
        <f t="shared" ref="DP3:DP11" si="15">IF($F3="","",IF(DN3&gt;DO3,3,IF(DN3&lt;DO3,0,1)))</f>
        <v/>
      </c>
      <c r="DQ3" s="5" t="str">
        <f t="shared" ref="DQ3:DQ11" si="16">IF($H3="","",IF(DO3&gt;DN3,3,IF(DO3&lt;DN3,0,1)))</f>
        <v/>
      </c>
      <c r="DR3" s="5">
        <f t="shared" ref="DR3:DR11" si="17">IF(ISBLANK(F3),0,1)</f>
        <v>0</v>
      </c>
      <c r="DS3" s="5">
        <f>IF(DZ3&lt;DZ1,1,0)+IF(DZ3&lt;DZ2,1,0)+IF(DZ3&lt;DZ4,1,0)+IF(DZ3&lt;DZ5,1,0)+IF(DZ3&lt;DZ6,1,0)+IF(DZ3&lt;DZ7,1,0)+IF(DZ3&lt;DZ8,1,0)+IF(DZ3&lt;DZ9,1,0)+IF(DZ3&lt;DZ10,1,0)+IF(DZ3&lt;DZ11,1,0)+IF(DZ3&lt;DZ12,1,0)+IF(DZ3&lt;DZ13,1,0)+IF(DZ3&lt;DZ14,1,0)+IF(DZ3&lt;DZ15,1,0)+IF(DZ3&lt;DZ16,1,0)+IF(DZ3&lt;DZ17,1,0)+IF(DZ3&lt;DZ18,1,0)</f>
        <v>15</v>
      </c>
      <c r="DT3" s="5" t="str">
        <f>ß03</f>
        <v>Leverk.</v>
      </c>
      <c r="DU3" s="5">
        <f t="shared" si="0"/>
        <v>0</v>
      </c>
      <c r="DV3" s="5">
        <f t="shared" si="1"/>
        <v>0</v>
      </c>
      <c r="DW3" s="5">
        <f t="shared" si="2"/>
        <v>0</v>
      </c>
      <c r="DX3" s="5">
        <f t="shared" si="3"/>
        <v>0</v>
      </c>
      <c r="DY3" s="5">
        <f t="shared" si="4"/>
        <v>0</v>
      </c>
      <c r="DZ3" s="5">
        <f>DV3*1000000+(DW3-DX3)*1000+DW3+0.03</f>
        <v>0.03</v>
      </c>
      <c r="EB3" s="5">
        <v>3</v>
      </c>
      <c r="EC3" s="5" t="str">
        <f>VLOOKUP(2,$DS$1:$DY$18,2,FALSE())</f>
        <v>Dortmund</v>
      </c>
      <c r="ED3" s="5">
        <f>VLOOKUP(2,$DS$1:$DY$18,3,FALSE())</f>
        <v>0</v>
      </c>
      <c r="EE3" s="5">
        <f>VLOOKUP(2,$DS$1:$DY$18,5,FALSE())</f>
        <v>0</v>
      </c>
      <c r="EF3" s="5">
        <f>VLOOKUP(2,$DS$1:$DY$18,6,FALSE())</f>
        <v>0</v>
      </c>
      <c r="EG3" s="5">
        <f>VLOOKUP(2,$DS$1:$DY$18,7,FALSE())</f>
        <v>0</v>
      </c>
      <c r="EH3" s="5">
        <f>VLOOKUP(2,$DS$1:$DY$18,4,FALSE())</f>
        <v>0</v>
      </c>
    </row>
    <row r="4" spans="1:170" ht="11.25" customHeight="1" x14ac:dyDescent="0.2">
      <c r="C4" s="2" t="str">
        <f>ß03</f>
        <v>Leverk.</v>
      </c>
      <c r="D4" s="3" t="s">
        <v>11</v>
      </c>
      <c r="E4" s="2" t="str">
        <f>ß04</f>
        <v>Hoffenheim</v>
      </c>
      <c r="F4" s="29"/>
      <c r="G4" s="3" t="s">
        <v>12</v>
      </c>
      <c r="H4" s="30"/>
      <c r="I4" s="37"/>
      <c r="J4" s="38" t="str">
        <f t="shared" si="5"/>
        <v/>
      </c>
      <c r="K4" s="37"/>
      <c r="L4" s="38" t="str">
        <f t="shared" si="6"/>
        <v/>
      </c>
      <c r="M4" s="37"/>
      <c r="N4" s="38" t="str">
        <f t="shared" si="7"/>
        <v/>
      </c>
      <c r="O4" s="37"/>
      <c r="P4" s="38" t="str">
        <f t="shared" si="8"/>
        <v/>
      </c>
      <c r="Q4" s="37"/>
      <c r="R4" s="38" t="str">
        <f t="shared" si="9"/>
        <v/>
      </c>
      <c r="S4" s="37"/>
      <c r="T4" s="38" t="str">
        <f t="shared" si="10"/>
        <v/>
      </c>
      <c r="U4" s="37"/>
      <c r="V4" s="38" t="str">
        <f t="shared" si="11"/>
        <v/>
      </c>
      <c r="X4" s="54"/>
      <c r="Y4" s="55"/>
      <c r="Z4" s="56"/>
      <c r="AA4" s="57">
        <f>$EE$3</f>
        <v>0</v>
      </c>
      <c r="AB4" s="58" t="s">
        <v>12</v>
      </c>
      <c r="AC4" s="56">
        <f>$EF$3</f>
        <v>0</v>
      </c>
      <c r="AD4" s="56">
        <f>$EG$3</f>
        <v>0</v>
      </c>
      <c r="AE4" s="56">
        <f>$EH$3</f>
        <v>0</v>
      </c>
      <c r="AF4" s="34"/>
      <c r="AG4" s="34"/>
      <c r="AH4" s="100" t="s">
        <v>15</v>
      </c>
      <c r="AI4" s="133" t="s">
        <v>16</v>
      </c>
      <c r="AJ4" s="34"/>
      <c r="BC4" s="39"/>
      <c r="DG4" s="8" t="str">
        <f t="shared" si="12"/>
        <v/>
      </c>
      <c r="DH4" s="3">
        <f t="shared" ref="DH4:DH11" si="18">COUNTIF(I4,DG4)+COUNTIF(K4,DG4)+COUNTIF(M4,DG4)+COUNTIF(O4,DG4)+COUNTIF(Q4,DG4)+COUNTIF(S4,DG4)+COUNTIF(U4,DG4)</f>
        <v>7</v>
      </c>
      <c r="DI4" s="3"/>
      <c r="DJ4" s="3">
        <v>2</v>
      </c>
      <c r="DK4" s="3">
        <v>6</v>
      </c>
      <c r="DN4" s="12">
        <f t="shared" si="13"/>
        <v>0</v>
      </c>
      <c r="DO4" s="5">
        <f t="shared" si="14"/>
        <v>0</v>
      </c>
      <c r="DP4" s="5" t="str">
        <f t="shared" si="15"/>
        <v/>
      </c>
      <c r="DQ4" s="5" t="str">
        <f t="shared" si="16"/>
        <v/>
      </c>
      <c r="DR4" s="5">
        <f t="shared" si="17"/>
        <v>0</v>
      </c>
      <c r="DS4" s="5">
        <f>IF(DZ4&lt;DZ1,1,0)+IF(DZ4&lt;DZ2,1,0)+IF(DZ4&lt;DZ3,1,0)+IF(DZ4&lt;DZ5,1,0)+IF(DZ4&lt;DZ6,1,0)+IF(DZ4&lt;DZ7,1,0)+IF(DZ4&lt;DZ8,1,0)+IF(DZ4&lt;DZ9,1,0)+IF(DZ4&lt;DZ10,1,0)+IF(DZ4&lt;DZ11,1,0)+IF(DZ4&lt;DZ12,1,0)+IF(DZ4&lt;DZ13,1,0)+IF(DZ4&lt;DZ14,1,0)+IF(DZ4&lt;DZ15,1,0)+IF(DZ4&lt;DZ16,1,0)+IF(DZ4&lt;DZ17,1,0)+IF(DZ4&lt;DZ18,1,0)</f>
        <v>14</v>
      </c>
      <c r="DT4" s="5" t="str">
        <f>ß04</f>
        <v>Hoffenheim</v>
      </c>
      <c r="DU4" s="5">
        <f t="shared" si="0"/>
        <v>0</v>
      </c>
      <c r="DV4" s="5">
        <f t="shared" si="1"/>
        <v>0</v>
      </c>
      <c r="DW4" s="5">
        <f t="shared" si="2"/>
        <v>0</v>
      </c>
      <c r="DX4" s="5">
        <f t="shared" si="3"/>
        <v>0</v>
      </c>
      <c r="DY4" s="5">
        <f t="shared" si="4"/>
        <v>0</v>
      </c>
      <c r="DZ4" s="5">
        <f>DV4*1000000+(DW4-DX4)*1000+DW4+0.04</f>
        <v>0.04</v>
      </c>
      <c r="EB4" s="5">
        <v>4</v>
      </c>
      <c r="EC4" s="5" t="str">
        <f>VLOOKUP(3,$DS$1:$DY$18,2,FALSE())</f>
        <v>St. Pauli</v>
      </c>
      <c r="ED4" s="5">
        <f>VLOOKUP(3,$DS$1:$DY$18,3,FALSE())</f>
        <v>0</v>
      </c>
      <c r="EE4" s="5">
        <f>VLOOKUP(3,$DS$1:$DY$18,5,FALSE())</f>
        <v>0</v>
      </c>
      <c r="EF4" s="5">
        <f>VLOOKUP(3,$DS$1:$DY$18,6,FALSE())</f>
        <v>0</v>
      </c>
      <c r="EG4" s="5">
        <f>VLOOKUP(3,$DS$1:$DY$18,7,FALSE())</f>
        <v>0</v>
      </c>
      <c r="EH4" s="5">
        <f>VLOOKUP(3,$DS$1:$DY$18,4,FALSE())</f>
        <v>0</v>
      </c>
    </row>
    <row r="5" spans="1:170" ht="11.25" customHeight="1" x14ac:dyDescent="0.2">
      <c r="C5" s="2" t="str">
        <f>ß05</f>
        <v>Frankfurt</v>
      </c>
      <c r="D5" s="3" t="s">
        <v>11</v>
      </c>
      <c r="E5" s="2" t="str">
        <f>ß06</f>
        <v>Werder</v>
      </c>
      <c r="F5" s="29"/>
      <c r="G5" s="3" t="s">
        <v>12</v>
      </c>
      <c r="H5" s="30"/>
      <c r="I5" s="37"/>
      <c r="J5" s="38" t="str">
        <f t="shared" si="5"/>
        <v/>
      </c>
      <c r="K5" s="37"/>
      <c r="L5" s="38" t="str">
        <f t="shared" si="6"/>
        <v/>
      </c>
      <c r="M5" s="37"/>
      <c r="N5" s="38" t="str">
        <f t="shared" si="7"/>
        <v/>
      </c>
      <c r="O5" s="37"/>
      <c r="P5" s="38" t="str">
        <f t="shared" si="8"/>
        <v/>
      </c>
      <c r="Q5" s="37"/>
      <c r="R5" s="38" t="str">
        <f t="shared" si="9"/>
        <v/>
      </c>
      <c r="S5" s="37"/>
      <c r="T5" s="38" t="str">
        <f t="shared" si="10"/>
        <v/>
      </c>
      <c r="U5" s="37"/>
      <c r="V5" s="38" t="str">
        <f t="shared" si="11"/>
        <v/>
      </c>
      <c r="X5" s="59"/>
      <c r="Y5" s="60"/>
      <c r="Z5" s="61"/>
      <c r="AA5" s="62">
        <f>$EE$4</f>
        <v>0</v>
      </c>
      <c r="AB5" s="63" t="s">
        <v>12</v>
      </c>
      <c r="AC5" s="61">
        <f>$EF$4</f>
        <v>0</v>
      </c>
      <c r="AD5" s="64">
        <f>$EG$4</f>
        <v>0</v>
      </c>
      <c r="AE5" s="64">
        <f>$EH$4</f>
        <v>0</v>
      </c>
      <c r="AF5" s="34"/>
      <c r="AG5" s="34"/>
      <c r="AH5" s="100" t="s">
        <v>17</v>
      </c>
      <c r="AI5" s="133" t="s">
        <v>10</v>
      </c>
      <c r="AJ5" s="34"/>
      <c r="BC5" s="14"/>
      <c r="DG5" s="8" t="str">
        <f t="shared" si="12"/>
        <v/>
      </c>
      <c r="DH5" s="3">
        <f t="shared" si="18"/>
        <v>7</v>
      </c>
      <c r="DI5" s="3"/>
      <c r="DJ5" s="3">
        <v>3</v>
      </c>
      <c r="DK5" s="3">
        <v>5</v>
      </c>
      <c r="DN5" s="12">
        <f t="shared" si="13"/>
        <v>0</v>
      </c>
      <c r="DO5" s="5">
        <f t="shared" si="14"/>
        <v>0</v>
      </c>
      <c r="DP5" s="5" t="str">
        <f t="shared" si="15"/>
        <v/>
      </c>
      <c r="DQ5" s="5" t="str">
        <f t="shared" si="16"/>
        <v/>
      </c>
      <c r="DR5" s="5">
        <f t="shared" si="17"/>
        <v>0</v>
      </c>
      <c r="DS5" s="5">
        <f>IF(DZ5&lt;DZ1,1,0)+IF(DZ5&lt;DZ2,1,0)+IF(DZ5&lt;DZ3,1,0)+IF(DZ5&lt;DZ4,1,0)+IF(DZ5&lt;DZ6,1,0)+IF(DZ5&lt;DZ7,1,0)+IF(DZ5&lt;DZ8,1,0)+IF(DZ5&lt;DZ9,1,0)+IF(DZ5&lt;DZ10,1,0)+IF(DZ5&lt;DZ11,1,0)+IF(DZ5&lt;DZ12,1,0)+IF(DZ5&lt;DZ13,1,0)+IF(DZ5&lt;DZ14,1,0)+IF(DZ5&lt;DZ15,1,0)+IF(DZ5&lt;DZ16,1,0)+IF(DZ5&lt;DZ17,1,0)+IF(DZ5&lt;DZ18,1,0)</f>
        <v>13</v>
      </c>
      <c r="DT5" s="5" t="str">
        <f>ß05</f>
        <v>Frankfurt</v>
      </c>
      <c r="DU5" s="5">
        <f t="shared" si="0"/>
        <v>0</v>
      </c>
      <c r="DV5" s="5">
        <f t="shared" si="1"/>
        <v>0</v>
      </c>
      <c r="DW5" s="5">
        <f t="shared" si="2"/>
        <v>0</v>
      </c>
      <c r="DX5" s="5">
        <f t="shared" si="3"/>
        <v>0</v>
      </c>
      <c r="DY5" s="5">
        <f t="shared" si="4"/>
        <v>0</v>
      </c>
      <c r="DZ5" s="5">
        <f>DV5*1000000+(DW5-DX5)*1000+DW5+0.05</f>
        <v>0.05</v>
      </c>
      <c r="EB5" s="5">
        <v>5</v>
      </c>
      <c r="EC5" s="5" t="str">
        <f>VLOOKUP(4,$DS$1:$DY$18,2,FALSE())</f>
        <v>Stuttgart</v>
      </c>
      <c r="ED5" s="5">
        <f>VLOOKUP(4,$DS$1:$DY$18,3,FALSE())</f>
        <v>0</v>
      </c>
      <c r="EE5" s="5">
        <f>VLOOKUP(4,$DS$1:$DY$18,5,FALSE())</f>
        <v>0</v>
      </c>
      <c r="EF5" s="5">
        <f>VLOOKUP(4,$DS$1:$DY$18,6,FALSE())</f>
        <v>0</v>
      </c>
      <c r="EG5" s="5">
        <f>VLOOKUP(4,$DS$1:$DY$18,7,FALSE())</f>
        <v>0</v>
      </c>
      <c r="EH5" s="5">
        <f>VLOOKUP(4,$DS$1:$DY$18,4,FALSE())</f>
        <v>0</v>
      </c>
    </row>
    <row r="6" spans="1:170" ht="10.5" customHeight="1" x14ac:dyDescent="0.2">
      <c r="C6" s="2" t="str">
        <f>ß07</f>
        <v>Freiburg</v>
      </c>
      <c r="D6" s="3" t="s">
        <v>11</v>
      </c>
      <c r="E6" s="2" t="str">
        <f>ß08</f>
        <v>Augsburg</v>
      </c>
      <c r="F6" s="29"/>
      <c r="G6" s="3" t="s">
        <v>12</v>
      </c>
      <c r="H6" s="30"/>
      <c r="I6" s="37"/>
      <c r="J6" s="38" t="str">
        <f t="shared" si="5"/>
        <v/>
      </c>
      <c r="K6" s="37"/>
      <c r="L6" s="38" t="str">
        <f t="shared" si="6"/>
        <v/>
      </c>
      <c r="M6" s="37"/>
      <c r="N6" s="38" t="str">
        <f t="shared" si="7"/>
        <v/>
      </c>
      <c r="O6" s="37"/>
      <c r="P6" s="38" t="str">
        <f t="shared" si="8"/>
        <v/>
      </c>
      <c r="Q6" s="37"/>
      <c r="R6" s="38" t="str">
        <f t="shared" si="9"/>
        <v/>
      </c>
      <c r="S6" s="37"/>
      <c r="T6" s="38" t="str">
        <f t="shared" si="10"/>
        <v/>
      </c>
      <c r="U6" s="37"/>
      <c r="V6" s="38" t="str">
        <f t="shared" si="11"/>
        <v/>
      </c>
      <c r="X6" s="65"/>
      <c r="Y6" s="66"/>
      <c r="Z6" s="67"/>
      <c r="AA6" s="68">
        <f>$EE$5</f>
        <v>0</v>
      </c>
      <c r="AB6" s="69" t="s">
        <v>12</v>
      </c>
      <c r="AC6" s="67">
        <f>$EF$5</f>
        <v>0</v>
      </c>
      <c r="AD6" s="70">
        <f>$EG$5</f>
        <v>0</v>
      </c>
      <c r="AE6" s="70">
        <f>$EH$5</f>
        <v>0</v>
      </c>
      <c r="AF6" s="34"/>
      <c r="AG6" s="34"/>
      <c r="AH6" s="2" t="s">
        <v>19</v>
      </c>
      <c r="AI6" s="133" t="s">
        <v>20</v>
      </c>
      <c r="AJ6" s="34"/>
      <c r="BC6" s="14"/>
      <c r="DG6" s="8" t="str">
        <f t="shared" si="12"/>
        <v/>
      </c>
      <c r="DH6" s="3">
        <f t="shared" si="18"/>
        <v>7</v>
      </c>
      <c r="DI6" s="3"/>
      <c r="DJ6" s="3">
        <v>4</v>
      </c>
      <c r="DK6" s="3">
        <v>4</v>
      </c>
      <c r="DN6" s="12">
        <f t="shared" si="13"/>
        <v>0</v>
      </c>
      <c r="DO6" s="5">
        <f t="shared" si="14"/>
        <v>0</v>
      </c>
      <c r="DP6" s="5" t="str">
        <f t="shared" si="15"/>
        <v/>
      </c>
      <c r="DQ6" s="5" t="str">
        <f t="shared" si="16"/>
        <v/>
      </c>
      <c r="DR6" s="5">
        <f t="shared" si="17"/>
        <v>0</v>
      </c>
      <c r="DS6" s="5">
        <f>IF(DZ6&lt;DZ1,1,0)+IF(DZ6&lt;DZ2,1,0)+IF(DZ6&lt;DZ3,1,0)+IF(DZ6&lt;DZ4,1,0)+IF(DZ6&lt;DZ5,1,0)+IF(DZ6&lt;DZ7,1,0)+IF(DZ6&lt;DZ8,1,0)+IF(DZ6&lt;DZ9,1,0)+IF(DZ6&lt;DZ10,1,0)+IF(DZ6&lt;DZ11,1,0)+IF(DZ6&lt;DZ12,1,0)+IF(DZ6&lt;DZ13,1,0)+IF(DZ6&lt;DZ14,1,0)+IF(DZ6&lt;DZ15,1,0)+IF(DZ6&lt;DZ16,1,0)+IF(DZ6&lt;DZ17,1,0)+IF(DZ6&lt;DZ18,1,0)</f>
        <v>12</v>
      </c>
      <c r="DT6" s="5" t="str">
        <f>ß06</f>
        <v>Werder</v>
      </c>
      <c r="DU6" s="5">
        <f t="shared" si="0"/>
        <v>0</v>
      </c>
      <c r="DV6" s="5">
        <f t="shared" si="1"/>
        <v>0</v>
      </c>
      <c r="DW6" s="5">
        <f t="shared" si="2"/>
        <v>0</v>
      </c>
      <c r="DX6" s="5">
        <f t="shared" si="3"/>
        <v>0</v>
      </c>
      <c r="DY6" s="5">
        <f t="shared" si="4"/>
        <v>0</v>
      </c>
      <c r="DZ6" s="5">
        <f>DV6*1000000+(DW6-DX6)*1000+DW6+0.06</f>
        <v>0.06</v>
      </c>
      <c r="EB6" s="5">
        <v>6</v>
      </c>
      <c r="EC6" s="5" t="str">
        <f>VLOOKUP(5,$DS$1:$DY$18,2,FALSE())</f>
        <v>Union</v>
      </c>
      <c r="ED6" s="5">
        <f>VLOOKUP(5,$DS$1:$DY$18,3,FALSE())</f>
        <v>0</v>
      </c>
      <c r="EE6" s="5">
        <f>VLOOKUP(5,$DS$1:$DY$18,5,FALSE())</f>
        <v>0</v>
      </c>
      <c r="EF6" s="5">
        <f>VLOOKUP(5,$DS$1:$DY$18,6,FALSE())</f>
        <v>0</v>
      </c>
      <c r="EG6" s="5">
        <f>VLOOKUP(5,$DS$1:$DY$18,7,FALSE())</f>
        <v>0</v>
      </c>
      <c r="EH6" s="5">
        <f>VLOOKUP(5,$DS$1:$DY$18,4,FALSE())</f>
        <v>0</v>
      </c>
    </row>
    <row r="7" spans="1:170" ht="11.25" customHeight="1" x14ac:dyDescent="0.2">
      <c r="C7" s="2" t="str">
        <f>ß09</f>
        <v>Mainz</v>
      </c>
      <c r="D7" s="3" t="s">
        <v>11</v>
      </c>
      <c r="E7" s="2" t="str">
        <f>ß10</f>
        <v>Köln</v>
      </c>
      <c r="F7" s="29"/>
      <c r="G7" s="3" t="s">
        <v>12</v>
      </c>
      <c r="H7" s="30"/>
      <c r="I7" s="37"/>
      <c r="J7" s="38" t="str">
        <f t="shared" si="5"/>
        <v/>
      </c>
      <c r="K7" s="37"/>
      <c r="L7" s="38" t="str">
        <f t="shared" si="6"/>
        <v/>
      </c>
      <c r="M7" s="37"/>
      <c r="N7" s="38" t="str">
        <f t="shared" si="7"/>
        <v/>
      </c>
      <c r="O7" s="37"/>
      <c r="P7" s="38" t="str">
        <f t="shared" si="8"/>
        <v/>
      </c>
      <c r="Q7" s="37"/>
      <c r="R7" s="38" t="str">
        <f t="shared" si="9"/>
        <v/>
      </c>
      <c r="S7" s="37"/>
      <c r="T7" s="38" t="str">
        <f t="shared" si="10"/>
        <v/>
      </c>
      <c r="U7" s="37"/>
      <c r="V7" s="38" t="str">
        <f t="shared" si="11"/>
        <v/>
      </c>
      <c r="X7" s="65"/>
      <c r="Y7" s="66"/>
      <c r="Z7" s="67"/>
      <c r="AA7" s="68">
        <f>$EE$6</f>
        <v>0</v>
      </c>
      <c r="AB7" s="69" t="s">
        <v>12</v>
      </c>
      <c r="AC7" s="67">
        <f>$EF$6</f>
        <v>0</v>
      </c>
      <c r="AD7" s="70">
        <f>$EG$6</f>
        <v>0</v>
      </c>
      <c r="AE7" s="70">
        <f>$EH$6</f>
        <v>0</v>
      </c>
      <c r="AF7" s="34"/>
      <c r="AG7" s="34"/>
      <c r="AH7" s="2" t="s">
        <v>21</v>
      </c>
      <c r="AI7" s="134" t="s">
        <v>22</v>
      </c>
      <c r="AJ7" s="34"/>
      <c r="BC7" s="14"/>
      <c r="DG7" s="8" t="str">
        <f t="shared" si="12"/>
        <v/>
      </c>
      <c r="DH7" s="3">
        <f t="shared" si="18"/>
        <v>7</v>
      </c>
      <c r="DI7" s="3"/>
      <c r="DJ7" s="3">
        <v>5</v>
      </c>
      <c r="DK7" s="3">
        <v>3</v>
      </c>
      <c r="DN7" s="12">
        <f t="shared" si="13"/>
        <v>0</v>
      </c>
      <c r="DO7" s="5">
        <f t="shared" si="14"/>
        <v>0</v>
      </c>
      <c r="DP7" s="5" t="str">
        <f t="shared" si="15"/>
        <v/>
      </c>
      <c r="DQ7" s="5" t="str">
        <f t="shared" si="16"/>
        <v/>
      </c>
      <c r="DR7" s="5">
        <f t="shared" si="17"/>
        <v>0</v>
      </c>
      <c r="DS7" s="5">
        <f>IF(DZ7&lt;DZ1,1,0)+IF(DZ7&lt;DZ2,1,0)+IF(DZ7&lt;DZ3,1,0)+IF(DZ7&lt;DZ4,1,0)+IF(DZ7&lt;DZ5,1,0)+IF(DZ7&lt;DZ6,1,0)+IF(DZ7&lt;DZ8,1,0)+IF(DZ7&lt;DZ9,1,0)+IF(DZ7&lt;DZ10,1,0)+IF(DZ7&lt;DZ11,1,0)+IF(DZ7&lt;DZ12,1,0)+IF(DZ7&lt;DZ13,1,0)+IF(DZ7&lt;DZ14,1,0)+IF(DZ7&lt;DZ15,1,0)+IF(DZ7&lt;DZ16,1,0)+IF(DZ7&lt;DZ17,1,0)+IF(DZ7&lt;DZ18,1,0)</f>
        <v>11</v>
      </c>
      <c r="DT7" s="5" t="str">
        <f>ß07</f>
        <v>Freiburg</v>
      </c>
      <c r="DU7" s="5">
        <f t="shared" si="0"/>
        <v>0</v>
      </c>
      <c r="DV7" s="5">
        <f t="shared" si="1"/>
        <v>0</v>
      </c>
      <c r="DW7" s="5">
        <f t="shared" si="2"/>
        <v>0</v>
      </c>
      <c r="DX7" s="5">
        <f t="shared" si="3"/>
        <v>0</v>
      </c>
      <c r="DY7" s="5">
        <f t="shared" si="4"/>
        <v>0</v>
      </c>
      <c r="DZ7" s="5">
        <f>DV7*1000000+(DW7-DX7)*1000+DW7+0.07</f>
        <v>7.0000000000000007E-2</v>
      </c>
      <c r="EB7" s="5">
        <v>7</v>
      </c>
      <c r="EC7" s="5" t="str">
        <f>VLOOKUP(6,$DS$1:$DY$18,2,FALSE())</f>
        <v>HSV</v>
      </c>
      <c r="ED7" s="5">
        <f>VLOOKUP(6,$DS$1:$DY$18,3,FALSE())</f>
        <v>0</v>
      </c>
      <c r="EE7" s="5">
        <f>VLOOKUP(6,$DS$1:$DY$18,5,FALSE())</f>
        <v>0</v>
      </c>
      <c r="EF7" s="5">
        <f>VLOOKUP(6,$DS$1:$DY$18,6,FALSE())</f>
        <v>0</v>
      </c>
      <c r="EG7" s="5">
        <f>VLOOKUP(6,$DS$1:$DY$18,7,FALSE())</f>
        <v>0</v>
      </c>
      <c r="EH7" s="5">
        <f>VLOOKUP(6,$DS$1:$DY$18,4,FALSE())</f>
        <v>0</v>
      </c>
    </row>
    <row r="8" spans="1:170" ht="11.25" customHeight="1" x14ac:dyDescent="0.2">
      <c r="C8" s="2" t="str">
        <f>ß11</f>
        <v>M'gladb.</v>
      </c>
      <c r="D8" s="3" t="s">
        <v>11</v>
      </c>
      <c r="E8" s="2" t="str">
        <f>ß12</f>
        <v>HSV</v>
      </c>
      <c r="F8" s="29"/>
      <c r="G8" s="3" t="s">
        <v>12</v>
      </c>
      <c r="H8" s="30"/>
      <c r="I8" s="37"/>
      <c r="J8" s="38" t="str">
        <f t="shared" si="5"/>
        <v/>
      </c>
      <c r="K8" s="37"/>
      <c r="L8" s="38" t="str">
        <f t="shared" si="6"/>
        <v/>
      </c>
      <c r="M8" s="37"/>
      <c r="N8" s="38" t="str">
        <f t="shared" si="7"/>
        <v/>
      </c>
      <c r="O8" s="37"/>
      <c r="P8" s="38" t="str">
        <f t="shared" si="8"/>
        <v/>
      </c>
      <c r="Q8" s="37"/>
      <c r="R8" s="38" t="str">
        <f t="shared" si="9"/>
        <v/>
      </c>
      <c r="S8" s="37"/>
      <c r="T8" s="38" t="str">
        <f t="shared" si="10"/>
        <v/>
      </c>
      <c r="U8" s="37"/>
      <c r="V8" s="38" t="str">
        <f t="shared" si="11"/>
        <v/>
      </c>
      <c r="X8" s="71"/>
      <c r="Y8" s="72"/>
      <c r="Z8" s="73"/>
      <c r="AA8" s="74">
        <f>$EE$7</f>
        <v>0</v>
      </c>
      <c r="AB8" s="75" t="s">
        <v>12</v>
      </c>
      <c r="AC8" s="73">
        <f>$EF$7</f>
        <v>0</v>
      </c>
      <c r="AD8" s="76">
        <f>$EG$7</f>
        <v>0</v>
      </c>
      <c r="AE8" s="76">
        <f>$EH$7</f>
        <v>0</v>
      </c>
      <c r="AF8" s="34"/>
      <c r="AG8" s="34"/>
      <c r="AH8" s="5"/>
      <c r="AI8" s="133" t="s">
        <v>23</v>
      </c>
      <c r="AJ8" s="34"/>
      <c r="BC8" s="14"/>
      <c r="DG8" s="8" t="str">
        <f t="shared" si="12"/>
        <v/>
      </c>
      <c r="DH8" s="3">
        <f t="shared" si="18"/>
        <v>7</v>
      </c>
      <c r="DI8" s="3"/>
      <c r="DJ8" s="3">
        <v>6</v>
      </c>
      <c r="DK8" s="3">
        <v>2</v>
      </c>
      <c r="DN8" s="12">
        <f t="shared" si="13"/>
        <v>0</v>
      </c>
      <c r="DO8" s="5">
        <f t="shared" si="14"/>
        <v>0</v>
      </c>
      <c r="DP8" s="5" t="str">
        <f t="shared" si="15"/>
        <v/>
      </c>
      <c r="DQ8" s="5" t="str">
        <f t="shared" si="16"/>
        <v/>
      </c>
      <c r="DR8" s="5">
        <f t="shared" si="17"/>
        <v>0</v>
      </c>
      <c r="DS8" s="5">
        <f>IF(DZ8&lt;DZ1,1,0)+IF(DZ8&lt;DZ2,1,0)+IF(DZ8&lt;DZ3,1,0)+IF(DZ8&lt;DZ4,1,0)+IF(DZ8&lt;DZ5,1,0)+IF(DZ8&lt;DZ6,1,0)+IF(DZ8&lt;DZ7,1,0)+IF(DZ8&lt;DZ9,1,0)+IF(DZ8&lt;DZ10,1,0)+IF(DZ8&lt;DZ11,1,0)+IF(DZ8&lt;DZ12,1,0)+IF(DZ8&lt;DZ13,1,0)+IF(DZ8&lt;DZ14,1,0)+IF(DZ8&lt;DZ15,1,0)+IF(DZ8&lt;DZ16,1,0)+IF(DZ8&lt;DZ17,1,0)+IF(DZ8&lt;DZ18,1,0)</f>
        <v>10</v>
      </c>
      <c r="DT8" s="5" t="str">
        <f>ß08</f>
        <v>Augsburg</v>
      </c>
      <c r="DU8" s="5">
        <f t="shared" si="0"/>
        <v>0</v>
      </c>
      <c r="DV8" s="5">
        <f t="shared" si="1"/>
        <v>0</v>
      </c>
      <c r="DW8" s="5">
        <f t="shared" si="2"/>
        <v>0</v>
      </c>
      <c r="DX8" s="5">
        <f t="shared" si="3"/>
        <v>0</v>
      </c>
      <c r="DY8" s="5">
        <f t="shared" si="4"/>
        <v>0</v>
      </c>
      <c r="DZ8" s="5">
        <f>DV8*1000000+(DW8-DX8)*1000+DW8+0.08</f>
        <v>0.08</v>
      </c>
      <c r="EB8" s="5">
        <v>8</v>
      </c>
      <c r="EC8" s="5" t="str">
        <f>VLOOKUP(7,$DS$1:$DY$18,2,FALSE())</f>
        <v>M'gladb.</v>
      </c>
      <c r="ED8" s="5">
        <f>VLOOKUP(7,$DS$1:$DY$18,3,FALSE())</f>
        <v>0</v>
      </c>
      <c r="EE8" s="5">
        <f>VLOOKUP(7,$DS$1:$DY$18,5,FALSE())</f>
        <v>0</v>
      </c>
      <c r="EF8" s="5">
        <f>VLOOKUP(7,$DS$1:$DY$18,6,FALSE())</f>
        <v>0</v>
      </c>
      <c r="EG8" s="5">
        <f>VLOOKUP(7,$DS$1:$DY$18,7,FALSE())</f>
        <v>0</v>
      </c>
      <c r="EH8" s="5">
        <f>VLOOKUP(7,$DS$1:$DY$18,4,FALSE())</f>
        <v>0</v>
      </c>
    </row>
    <row r="9" spans="1:170" ht="11.25" customHeight="1" x14ac:dyDescent="0.2">
      <c r="C9" s="2" t="str">
        <f>ß13</f>
        <v>Union</v>
      </c>
      <c r="D9" s="3" t="s">
        <v>11</v>
      </c>
      <c r="E9" s="2" t="str">
        <f>ß14</f>
        <v>Stuttgart</v>
      </c>
      <c r="F9" s="29"/>
      <c r="G9" s="3" t="s">
        <v>12</v>
      </c>
      <c r="H9" s="30"/>
      <c r="I9" s="37"/>
      <c r="J9" s="38" t="str">
        <f t="shared" si="5"/>
        <v/>
      </c>
      <c r="K9" s="37"/>
      <c r="L9" s="38" t="str">
        <f t="shared" si="6"/>
        <v/>
      </c>
      <c r="M9" s="37"/>
      <c r="N9" s="38" t="str">
        <f t="shared" si="7"/>
        <v/>
      </c>
      <c r="O9" s="37"/>
      <c r="P9" s="38" t="str">
        <f t="shared" si="8"/>
        <v/>
      </c>
      <c r="Q9" s="37"/>
      <c r="R9" s="38" t="str">
        <f t="shared" si="9"/>
        <v/>
      </c>
      <c r="S9" s="37"/>
      <c r="T9" s="38" t="str">
        <f t="shared" si="10"/>
        <v/>
      </c>
      <c r="U9" s="37"/>
      <c r="V9" s="38" t="str">
        <f t="shared" si="11"/>
        <v/>
      </c>
      <c r="X9" s="77"/>
      <c r="Y9" s="78"/>
      <c r="Z9" s="79"/>
      <c r="AA9" s="80">
        <f>$EE$8</f>
        <v>0</v>
      </c>
      <c r="AB9" s="81" t="s">
        <v>12</v>
      </c>
      <c r="AC9" s="79">
        <f>$EF$8</f>
        <v>0</v>
      </c>
      <c r="AD9" s="82">
        <f>$EG$8</f>
        <v>0</v>
      </c>
      <c r="AE9" s="82">
        <f>$EH$8</f>
        <v>0</v>
      </c>
      <c r="AF9" s="34"/>
      <c r="AG9" s="34"/>
      <c r="AI9" s="133" t="s">
        <v>24</v>
      </c>
      <c r="AJ9" s="34"/>
      <c r="DG9" s="8" t="str">
        <f t="shared" si="12"/>
        <v/>
      </c>
      <c r="DH9" s="3">
        <f t="shared" si="18"/>
        <v>7</v>
      </c>
      <c r="DI9" s="3"/>
      <c r="DJ9" s="3">
        <v>7</v>
      </c>
      <c r="DK9" s="3">
        <v>1</v>
      </c>
      <c r="DN9" s="12">
        <f t="shared" si="13"/>
        <v>0</v>
      </c>
      <c r="DO9" s="5">
        <f t="shared" si="14"/>
        <v>0</v>
      </c>
      <c r="DP9" s="5" t="str">
        <f t="shared" si="15"/>
        <v/>
      </c>
      <c r="DQ9" s="5" t="str">
        <f t="shared" si="16"/>
        <v/>
      </c>
      <c r="DR9" s="5">
        <f t="shared" si="17"/>
        <v>0</v>
      </c>
      <c r="DS9" s="5">
        <f>IF(DZ9&lt;DZ1,1,0)+IF(DZ9&lt;DZ2,1,0)+IF(DZ9&lt;DZ3,1,0)+IF(DZ9&lt;DZ4,1,0)+IF(DZ9&lt;DZ5,1,0)+IF(DZ9&lt;DZ6,1,0)+IF(DZ9&lt;DZ7,1,0)+IF(DZ9&lt;DZ8,1,0)+IF(DZ9&lt;DZ10,1,0)+IF(DZ9&lt;DZ11,1,0)+IF(DZ9&lt;DZ12,1,0)+IF(DZ9&lt;DZ13,1,0)+IF(DZ9&lt;DZ14,1,0)+IF(DZ9&lt;DZ15,1,0)+IF(DZ9&lt;DZ16,1,0)+IF(DZ9&lt;DZ17,1,0)+IF(DZ9&lt;DZ18,1,0)</f>
        <v>9</v>
      </c>
      <c r="DT9" s="5" t="str">
        <f>ß09</f>
        <v>Mainz</v>
      </c>
      <c r="DU9" s="5">
        <f t="shared" si="0"/>
        <v>0</v>
      </c>
      <c r="DV9" s="5">
        <f t="shared" si="1"/>
        <v>0</v>
      </c>
      <c r="DW9" s="5">
        <f t="shared" si="2"/>
        <v>0</v>
      </c>
      <c r="DX9" s="5">
        <f t="shared" si="3"/>
        <v>0</v>
      </c>
      <c r="DY9" s="5">
        <f t="shared" si="4"/>
        <v>0</v>
      </c>
      <c r="DZ9" s="5">
        <f>DV9*1000000+(DW9-DX9)*1000+DW9+0.09</f>
        <v>0.09</v>
      </c>
      <c r="EB9" s="5">
        <v>9</v>
      </c>
      <c r="EC9" s="5" t="str">
        <f>VLOOKUP(8,$DS$1:$DY$18,2,FALSE())</f>
        <v>Köln</v>
      </c>
      <c r="ED9" s="5">
        <f>VLOOKUP(8,$DS$1:$DY$18,3,FALSE())</f>
        <v>0</v>
      </c>
      <c r="EE9" s="5">
        <f>VLOOKUP(8,$DS$1:$DY$18,5,FALSE())</f>
        <v>0</v>
      </c>
      <c r="EF9" s="5">
        <f>VLOOKUP(8,$DS$1:$DY$18,6,FALSE())</f>
        <v>0</v>
      </c>
      <c r="EG9" s="5">
        <f>VLOOKUP(8,$DS$1:$DY$18,7,FALSE())</f>
        <v>0</v>
      </c>
      <c r="EH9" s="5">
        <f>VLOOKUP(8,$DS$1:$DY$18,4,FALSE())</f>
        <v>0</v>
      </c>
    </row>
    <row r="10" spans="1:170" ht="11.25" customHeight="1" x14ac:dyDescent="0.2">
      <c r="C10" s="2" t="str">
        <f>ß15</f>
        <v>St. Pauli</v>
      </c>
      <c r="D10" s="3" t="s">
        <v>11</v>
      </c>
      <c r="E10" s="2" t="str">
        <f>ß16</f>
        <v>Dortmund</v>
      </c>
      <c r="F10" s="29"/>
      <c r="G10" s="3" t="s">
        <v>12</v>
      </c>
      <c r="H10" s="30"/>
      <c r="I10" s="37"/>
      <c r="J10" s="38" t="str">
        <f t="shared" si="5"/>
        <v/>
      </c>
      <c r="K10" s="37"/>
      <c r="L10" s="38" t="str">
        <f t="shared" si="6"/>
        <v/>
      </c>
      <c r="M10" s="37"/>
      <c r="N10" s="38" t="str">
        <f t="shared" si="7"/>
        <v/>
      </c>
      <c r="O10" s="37"/>
      <c r="P10" s="38" t="str">
        <f t="shared" si="8"/>
        <v/>
      </c>
      <c r="Q10" s="37"/>
      <c r="R10" s="38" t="str">
        <f t="shared" si="9"/>
        <v/>
      </c>
      <c r="S10" s="37"/>
      <c r="T10" s="38" t="str">
        <f t="shared" si="10"/>
        <v/>
      </c>
      <c r="U10" s="37"/>
      <c r="V10" s="38" t="str">
        <f t="shared" si="11"/>
        <v/>
      </c>
      <c r="X10" s="77"/>
      <c r="Y10" s="78"/>
      <c r="Z10" s="79"/>
      <c r="AA10" s="80">
        <f>$EE$9</f>
        <v>0</v>
      </c>
      <c r="AB10" s="81" t="s">
        <v>12</v>
      </c>
      <c r="AC10" s="79">
        <f>$EF$9</f>
        <v>0</v>
      </c>
      <c r="AD10" s="82">
        <f>$EG$9</f>
        <v>0</v>
      </c>
      <c r="AE10" s="82">
        <f>$EH$9</f>
        <v>0</v>
      </c>
      <c r="AF10" s="34"/>
      <c r="AG10" s="34"/>
      <c r="AH10" s="34"/>
      <c r="AI10" s="133" t="s">
        <v>18</v>
      </c>
      <c r="AJ10" s="34"/>
      <c r="DG10" s="8" t="str">
        <f t="shared" si="12"/>
        <v/>
      </c>
      <c r="DH10" s="3">
        <f>COUNTIF(I10,DG10)+COUNTIF(K10,DG10)+COUNTIF(M10,DG10)+COUNTIF(O10,DG10)+COUNTIF(Q10,DG10)+COUNTIF(S10,DG10)+COUNTIF(U10,DG10)</f>
        <v>7</v>
      </c>
      <c r="DI10" s="3"/>
      <c r="DJ10" s="3"/>
      <c r="DK10" s="3"/>
      <c r="DN10" s="12">
        <f t="shared" si="13"/>
        <v>0</v>
      </c>
      <c r="DO10" s="5">
        <f t="shared" si="14"/>
        <v>0</v>
      </c>
      <c r="DP10" s="5" t="str">
        <f t="shared" si="15"/>
        <v/>
      </c>
      <c r="DQ10" s="5" t="str">
        <f t="shared" si="16"/>
        <v/>
      </c>
      <c r="DR10" s="5">
        <f t="shared" si="17"/>
        <v>0</v>
      </c>
      <c r="DS10" s="5">
        <f>IF(DZ10&lt;DZ1,1,0)+IF(DZ10&lt;DZ2,1,0)+IF(DZ10&lt;DZ3,1,0)+IF(DZ10&lt;DZ4,1,0)+IF(DZ10&lt;DZ5,1,0)+IF(DZ10&lt;DZ6,1,0)+IF(DZ10&lt;DZ7,1,0)+IF(DZ10&lt;DZ8,1,0)+IF(DZ10&lt;DZ9,1,0)+IF(DZ10&lt;DZ11,1,0)+IF(DZ10&lt;DZ12,1,0)+IF(DZ10&lt;DZ13,1,0)+IF(DZ10&lt;DZ14,1,0)+IF(DZ10&lt;DZ15,1,0)+IF(DZ10&lt;DZ16,1,0)+IF(DZ10&lt;DZ17,1,0)+IF(DZ10&lt;DZ18,1,0)</f>
        <v>8</v>
      </c>
      <c r="DT10" s="5" t="str">
        <f>ß10</f>
        <v>Köln</v>
      </c>
      <c r="DU10" s="5">
        <f t="shared" si="0"/>
        <v>0</v>
      </c>
      <c r="DV10" s="5">
        <f t="shared" si="1"/>
        <v>0</v>
      </c>
      <c r="DW10" s="5">
        <f t="shared" si="2"/>
        <v>0</v>
      </c>
      <c r="DX10" s="5">
        <f t="shared" si="3"/>
        <v>0</v>
      </c>
      <c r="DY10" s="5">
        <f t="shared" si="4"/>
        <v>0</v>
      </c>
      <c r="DZ10" s="5">
        <f>DV10*1000000+(DW10-DX10)*1000+DW10+0.1</f>
        <v>0.1</v>
      </c>
      <c r="EB10" s="5">
        <v>10</v>
      </c>
      <c r="EC10" s="5" t="str">
        <f>VLOOKUP(9,$DS$1:$DY$18,2,FALSE())</f>
        <v>Mainz</v>
      </c>
      <c r="ED10" s="5">
        <f>VLOOKUP(9,$DS$1:$DY$18,3,FALSE())</f>
        <v>0</v>
      </c>
      <c r="EE10" s="5">
        <f>VLOOKUP(9,$DS$1:$DY$18,5,FALSE())</f>
        <v>0</v>
      </c>
      <c r="EF10" s="5">
        <f>VLOOKUP(9,$DS$1:$DY$18,6,FALSE())</f>
        <v>0</v>
      </c>
      <c r="EG10" s="5">
        <f>VLOOKUP(9,$DS$1:$DY$18,7,FALSE())</f>
        <v>0</v>
      </c>
      <c r="EH10" s="5">
        <f>VLOOKUP(9,$DS$1:$DY$18,4,FALSE())</f>
        <v>0</v>
      </c>
    </row>
    <row r="11" spans="1:170" ht="11.25" customHeight="1" thickBot="1" x14ac:dyDescent="0.25">
      <c r="C11" s="2" t="str">
        <f>ß17</f>
        <v>Heidenheim</v>
      </c>
      <c r="D11" s="3" t="s">
        <v>11</v>
      </c>
      <c r="E11" s="2" t="str">
        <f>ß18</f>
        <v>Wolfsburg</v>
      </c>
      <c r="F11" s="29"/>
      <c r="G11" s="3" t="s">
        <v>12</v>
      </c>
      <c r="H11" s="30"/>
      <c r="I11" s="40"/>
      <c r="J11" s="38" t="str">
        <f t="shared" si="5"/>
        <v/>
      </c>
      <c r="K11" s="40"/>
      <c r="L11" s="38" t="str">
        <f t="shared" si="6"/>
        <v/>
      </c>
      <c r="M11" s="40"/>
      <c r="N11" s="38" t="str">
        <f t="shared" si="7"/>
        <v/>
      </c>
      <c r="O11" s="40"/>
      <c r="P11" s="38" t="str">
        <f t="shared" si="8"/>
        <v/>
      </c>
      <c r="Q11" s="40"/>
      <c r="R11" s="38" t="str">
        <f t="shared" si="9"/>
        <v/>
      </c>
      <c r="S11" s="40"/>
      <c r="T11" s="38" t="str">
        <f t="shared" si="10"/>
        <v/>
      </c>
      <c r="U11" s="40"/>
      <c r="V11" s="38" t="str">
        <f t="shared" si="11"/>
        <v/>
      </c>
      <c r="X11" s="77"/>
      <c r="Y11" s="78"/>
      <c r="Z11" s="79"/>
      <c r="AA11" s="80">
        <f>$EE$10</f>
        <v>0</v>
      </c>
      <c r="AB11" s="81" t="s">
        <v>12</v>
      </c>
      <c r="AC11" s="79">
        <f>$EF$10</f>
        <v>0</v>
      </c>
      <c r="AD11" s="82">
        <f>$EG$10</f>
        <v>0</v>
      </c>
      <c r="AE11" s="82">
        <f>$EH$10</f>
        <v>0</v>
      </c>
      <c r="AF11" s="34"/>
      <c r="AG11" s="34"/>
      <c r="AH11" s="34"/>
      <c r="AI11" s="133" t="s">
        <v>25</v>
      </c>
      <c r="AJ11" s="34"/>
      <c r="DG11" s="8" t="str">
        <f t="shared" si="12"/>
        <v/>
      </c>
      <c r="DH11" s="3">
        <f t="shared" si="18"/>
        <v>7</v>
      </c>
      <c r="DI11" s="3"/>
      <c r="DJ11" s="3"/>
      <c r="DN11" s="12">
        <f t="shared" si="13"/>
        <v>0</v>
      </c>
      <c r="DO11" s="5">
        <f t="shared" si="14"/>
        <v>0</v>
      </c>
      <c r="DP11" s="5" t="str">
        <f t="shared" si="15"/>
        <v/>
      </c>
      <c r="DQ11" s="5" t="str">
        <f t="shared" si="16"/>
        <v/>
      </c>
      <c r="DR11" s="5">
        <f t="shared" si="17"/>
        <v>0</v>
      </c>
      <c r="DS11" s="5">
        <f>IF(DZ11&lt;DZ1,1,0)+IF(DZ11&lt;DZ2,1,0)+IF(DZ11&lt;DZ3,1,0)+IF(DZ11&lt;DZ4,1,0)+IF(DZ11&lt;DZ5,1,0)+IF(DZ11&lt;DZ6,1,0)+IF(DZ11&lt;DZ7,1,0)+IF(DZ11&lt;DZ8,1,0)+IF(DZ11&lt;DZ9,1,0)+IF(DZ11&lt;DZ10,1,0)+IF(DZ11&lt;DZ12,1,0)+IF(DZ11&lt;DZ13,1,0)+IF(DZ11&lt;DZ14,1,0)+IF(DZ11&lt;DZ15,1,0)+IF(DZ11&lt;DZ16,1,0)+IF(DZ11&lt;DZ17,1,0)+IF(DZ11&lt;DZ18,1,0)</f>
        <v>7</v>
      </c>
      <c r="DT11" s="5" t="str">
        <f>ß11</f>
        <v>M'gladb.</v>
      </c>
      <c r="DU11" s="5">
        <f t="shared" si="0"/>
        <v>0</v>
      </c>
      <c r="DV11" s="5">
        <f t="shared" si="1"/>
        <v>0</v>
      </c>
      <c r="DW11" s="5">
        <f t="shared" si="2"/>
        <v>0</v>
      </c>
      <c r="DX11" s="5">
        <f t="shared" si="3"/>
        <v>0</v>
      </c>
      <c r="DY11" s="5">
        <f t="shared" si="4"/>
        <v>0</v>
      </c>
      <c r="DZ11" s="5">
        <f>DV11*1000000+(DW11-DX11)*1000+DW11+0.11</f>
        <v>0.11</v>
      </c>
      <c r="EB11" s="5">
        <v>11</v>
      </c>
      <c r="EC11" s="5" t="str">
        <f>VLOOKUP(10,$DS$1:$DY$18,2,FALSE())</f>
        <v>Augsburg</v>
      </c>
      <c r="ED11" s="5">
        <f>VLOOKUP(10,$DS$1:$DY$18,3,FALSE())</f>
        <v>0</v>
      </c>
      <c r="EE11" s="5">
        <f>VLOOKUP(10,$DS$1:$DY$18,5,FALSE())</f>
        <v>0</v>
      </c>
      <c r="EF11" s="5">
        <f>VLOOKUP(10,$DS$1:$DY$18,6,FALSE())</f>
        <v>0</v>
      </c>
      <c r="EG11" s="5">
        <f>VLOOKUP(10,$DS$1:$DY$18,7,FALSE())</f>
        <v>0</v>
      </c>
      <c r="EH11" s="5">
        <f>VLOOKUP(10,$DS$1:$DY$18,4,FALSE())</f>
        <v>0</v>
      </c>
    </row>
    <row r="12" spans="1:170" ht="11.25" customHeight="1" thickTop="1" x14ac:dyDescent="0.2">
      <c r="C12" s="41">
        <f>(I12+K12+M12+O12+Q12+S12+U12)</f>
        <v>0</v>
      </c>
      <c r="E12" s="42">
        <f>C12/8</f>
        <v>0</v>
      </c>
      <c r="F12" s="41">
        <f>SUM(F3:F11)</f>
        <v>0</v>
      </c>
      <c r="G12" s="2"/>
      <c r="H12" s="43">
        <f>SUM(H3:H11)</f>
        <v>0</v>
      </c>
      <c r="I12" s="44">
        <f>COUNTIF(J3:J11,"&gt;0")</f>
        <v>0</v>
      </c>
      <c r="J12" s="45">
        <f>I12</f>
        <v>0</v>
      </c>
      <c r="K12" s="44">
        <f>COUNTIF(L3:L11,"&gt;0")</f>
        <v>0</v>
      </c>
      <c r="L12" s="45">
        <f>K12</f>
        <v>0</v>
      </c>
      <c r="M12" s="44">
        <f>COUNTIF(N3:N11,"&gt;0")</f>
        <v>0</v>
      </c>
      <c r="N12" s="45">
        <f>M12</f>
        <v>0</v>
      </c>
      <c r="O12" s="44">
        <f>COUNTIF(P3:P11,"&gt;0")</f>
        <v>0</v>
      </c>
      <c r="P12" s="45">
        <f>O12</f>
        <v>0</v>
      </c>
      <c r="Q12" s="44">
        <f>COUNTIF(R3:R11,"&gt;0")</f>
        <v>0</v>
      </c>
      <c r="R12" s="45">
        <f>Q12</f>
        <v>0</v>
      </c>
      <c r="S12" s="44">
        <f>COUNTIF(T3:T11,"&gt;0")</f>
        <v>0</v>
      </c>
      <c r="T12" s="45">
        <f>S12</f>
        <v>0</v>
      </c>
      <c r="U12" s="44">
        <f>COUNTIF(V3:V11,"&gt;0")</f>
        <v>0</v>
      </c>
      <c r="V12" s="45">
        <f>U12</f>
        <v>0</v>
      </c>
      <c r="X12" s="77"/>
      <c r="Y12" s="78"/>
      <c r="Z12" s="79"/>
      <c r="AA12" s="80">
        <f>$EE$11</f>
        <v>0</v>
      </c>
      <c r="AB12" s="81" t="s">
        <v>12</v>
      </c>
      <c r="AC12" s="79">
        <f>$EF$11</f>
        <v>0</v>
      </c>
      <c r="AD12" s="82">
        <f>$EG$11</f>
        <v>0</v>
      </c>
      <c r="AE12" s="82">
        <f>$EH$11</f>
        <v>0</v>
      </c>
      <c r="AF12" s="34"/>
      <c r="AG12" s="34"/>
      <c r="AH12" s="34"/>
      <c r="AI12" s="34"/>
      <c r="AJ12" s="34"/>
      <c r="DN12" s="12"/>
      <c r="DS12" s="5">
        <f>IF(DZ12&lt;DZ1,1,0)+IF(DZ12&lt;DZ2,1,0)+IF(DZ12&lt;DZ3,1,0)+IF(DZ12&lt;DZ4,1,0)+IF(DZ12&lt;DZ5,1,0)+IF(DZ12&lt;DZ6,1,0)+IF(DZ12&lt;DZ7,1,0)+IF(DZ12&lt;DZ8,1,0)+IF(DZ12&lt;DZ9,1,0)+IF(DZ12&lt;DZ10,1,0)+IF(DZ12&lt;DZ11,1,0)+IF(DZ12&lt;DZ13,1,0)+IF(DZ12&lt;DZ14,1,0)+IF(DZ12&lt;DZ15,1,0)+IF(DZ12&lt;DZ16,1,0)+IF(DZ12&lt;DZ17,1,0)+IF(DZ12&lt;DZ18,1,0)</f>
        <v>6</v>
      </c>
      <c r="DT12" s="5" t="str">
        <f>ß12</f>
        <v>HSV</v>
      </c>
      <c r="DU12" s="5">
        <f t="shared" si="0"/>
        <v>0</v>
      </c>
      <c r="DV12" s="5">
        <f t="shared" si="1"/>
        <v>0</v>
      </c>
      <c r="DW12" s="5">
        <f t="shared" si="2"/>
        <v>0</v>
      </c>
      <c r="DX12" s="5">
        <f t="shared" si="3"/>
        <v>0</v>
      </c>
      <c r="DY12" s="5">
        <f t="shared" si="4"/>
        <v>0</v>
      </c>
      <c r="DZ12" s="5">
        <f>DV12*1000000+(DW12-DX12)*1000+DW12+0.12</f>
        <v>0.12</v>
      </c>
      <c r="EB12" s="5">
        <v>12</v>
      </c>
      <c r="EC12" s="5" t="str">
        <f>VLOOKUP(11,$DS$1:$DY$18,2,FALSE())</f>
        <v>Freiburg</v>
      </c>
      <c r="ED12" s="5">
        <f>VLOOKUP(11,$DS$1:$DY$18,3,FALSE())</f>
        <v>0</v>
      </c>
      <c r="EE12" s="5">
        <f>VLOOKUP(11,$DS$1:$DY$18,5,FALSE())</f>
        <v>0</v>
      </c>
      <c r="EF12" s="5">
        <f>VLOOKUP(11,$DS$1:$DY$18,6,FALSE())</f>
        <v>0</v>
      </c>
      <c r="EG12" s="5">
        <f>VLOOKUP(11,$DS$1:$DY$18,7,FALSE())</f>
        <v>0</v>
      </c>
      <c r="EH12" s="5">
        <f>VLOOKUP(11,$DS$1:$DY$18,4,FALSE())</f>
        <v>0</v>
      </c>
    </row>
    <row r="13" spans="1:170" ht="11.25" customHeight="1" x14ac:dyDescent="0.2">
      <c r="C13" s="41">
        <f>(I13+K13+M13+O13+Q13+S13+U13)</f>
        <v>0</v>
      </c>
      <c r="E13" s="42">
        <f>C13/8</f>
        <v>0</v>
      </c>
      <c r="F13" s="137">
        <f>F12+H12</f>
        <v>0</v>
      </c>
      <c r="G13" s="137"/>
      <c r="H13" s="137"/>
      <c r="I13" s="46">
        <f>SUM(J3:J11)</f>
        <v>0</v>
      </c>
      <c r="J13" s="47">
        <f>I13</f>
        <v>0</v>
      </c>
      <c r="K13" s="46">
        <f>SUM(L3:L11)</f>
        <v>0</v>
      </c>
      <c r="L13" s="47">
        <f>K13</f>
        <v>0</v>
      </c>
      <c r="M13" s="46">
        <f>SUM(N3:N11)</f>
        <v>0</v>
      </c>
      <c r="N13" s="47">
        <f>M13</f>
        <v>0</v>
      </c>
      <c r="O13" s="46">
        <f>SUM(P3:P11)</f>
        <v>0</v>
      </c>
      <c r="P13" s="47">
        <f>O13</f>
        <v>0</v>
      </c>
      <c r="Q13" s="46">
        <f>SUM(R3:R11)</f>
        <v>0</v>
      </c>
      <c r="R13" s="47">
        <f>Q13</f>
        <v>0</v>
      </c>
      <c r="S13" s="46">
        <f>SUM(T3:T11)</f>
        <v>0</v>
      </c>
      <c r="T13" s="47">
        <f>S13</f>
        <v>0</v>
      </c>
      <c r="U13" s="46">
        <f>SUM(V3:V11)</f>
        <v>0</v>
      </c>
      <c r="V13" s="47">
        <f>U13</f>
        <v>0</v>
      </c>
      <c r="X13" s="77"/>
      <c r="Y13" s="83"/>
      <c r="Z13" s="79"/>
      <c r="AA13" s="80">
        <f>$EE$12</f>
        <v>0</v>
      </c>
      <c r="AB13" s="81" t="s">
        <v>12</v>
      </c>
      <c r="AC13" s="79">
        <f>$EF$12</f>
        <v>0</v>
      </c>
      <c r="AD13" s="82">
        <f>$EG$12</f>
        <v>0</v>
      </c>
      <c r="AE13" s="82">
        <f>$EH$12</f>
        <v>0</v>
      </c>
      <c r="AF13" s="34"/>
      <c r="AG13" s="34"/>
      <c r="AH13" s="34"/>
      <c r="AI13" s="34"/>
      <c r="AJ13" s="34"/>
      <c r="DN13" s="12"/>
      <c r="DS13" s="5">
        <f>IF(DZ13&lt;DZ1,1,0)+IF(DZ13&lt;DZ2,1,0)+IF(DZ13&lt;DZ3,1,0)+IF(DZ13&lt;DZ4,1,0)+IF(DZ13&lt;DZ5,1,0)+IF(DZ13&lt;DZ6,1,0)+IF(DZ13&lt;DZ7,1,0)+IF(DZ13&lt;DZ8,1,0)+IF(DZ13&lt;DZ9,1,0)+IF(DZ13&lt;DZ10,1,0)+IF(DZ13&lt;DZ11,1,0)+IF(DZ13&lt;DZ12,1,0)+IF(DZ13&lt;DZ14,1,0)+IF(DZ13&lt;DZ15,1,0)+IF(DZ13&lt;DZ16,1,0)+IF(DZ13&lt;DZ17,1,0)+IF(DZ13&lt;DZ18,1,0)</f>
        <v>5</v>
      </c>
      <c r="DT13" s="5" t="str">
        <f>ß13</f>
        <v>Union</v>
      </c>
      <c r="DU13" s="5">
        <f t="shared" si="0"/>
        <v>0</v>
      </c>
      <c r="DV13" s="5">
        <f t="shared" si="1"/>
        <v>0</v>
      </c>
      <c r="DW13" s="5">
        <f t="shared" si="2"/>
        <v>0</v>
      </c>
      <c r="DX13" s="5">
        <f t="shared" si="3"/>
        <v>0</v>
      </c>
      <c r="DY13" s="5">
        <f t="shared" si="4"/>
        <v>0</v>
      </c>
      <c r="DZ13" s="5">
        <f>DV13*1000000+(DW13-DX13)*1000+DW13+0.13</f>
        <v>0.13</v>
      </c>
      <c r="EB13" s="5">
        <v>13</v>
      </c>
      <c r="EC13" s="5" t="str">
        <f>VLOOKUP(12,$DS$1:$DY$18,2,FALSE())</f>
        <v>Werder</v>
      </c>
      <c r="ED13" s="5">
        <f>VLOOKUP(12,$DS$1:$DY$18,3,FALSE())</f>
        <v>0</v>
      </c>
      <c r="EE13" s="5">
        <f>VLOOKUP(12,$DS$1:$DY$18,5,FALSE())</f>
        <v>0</v>
      </c>
      <c r="EF13" s="5">
        <f>VLOOKUP(12,$DS$1:$DY$18,6,FALSE())</f>
        <v>0</v>
      </c>
      <c r="EG13" s="5">
        <f>VLOOKUP(12,$DS$1:$DY$18,7,FALSE())</f>
        <v>0</v>
      </c>
      <c r="EH13" s="5">
        <f>VLOOKUP(12,$DS$1:$DY$18,4,FALSE())</f>
        <v>0</v>
      </c>
    </row>
    <row r="14" spans="1:170" s="5" customFormat="1" ht="11.25" customHeight="1" thickBot="1" x14ac:dyDescent="0.25">
      <c r="A14" s="1"/>
      <c r="B14" s="1"/>
      <c r="C14" s="41">
        <f>(I14+K14+M14+O14+Q14+S14+U14)</f>
        <v>0</v>
      </c>
      <c r="D14" s="3"/>
      <c r="E14" s="42">
        <f>C14/8</f>
        <v>0</v>
      </c>
      <c r="F14" s="138">
        <f>F13</f>
        <v>0</v>
      </c>
      <c r="G14" s="138"/>
      <c r="H14" s="138"/>
      <c r="I14" s="48">
        <f>I12*I13</f>
        <v>0</v>
      </c>
      <c r="J14" s="49">
        <f>I14</f>
        <v>0</v>
      </c>
      <c r="K14" s="48">
        <f>K12*K13</f>
        <v>0</v>
      </c>
      <c r="L14" s="49">
        <f>K14</f>
        <v>0</v>
      </c>
      <c r="M14" s="48">
        <f>M12*M13</f>
        <v>0</v>
      </c>
      <c r="N14" s="49">
        <f>M14</f>
        <v>0</v>
      </c>
      <c r="O14" s="48">
        <f>O12*O13</f>
        <v>0</v>
      </c>
      <c r="P14" s="49">
        <f>O14</f>
        <v>0</v>
      </c>
      <c r="Q14" s="48">
        <f>Q12*Q13</f>
        <v>0</v>
      </c>
      <c r="R14" s="49">
        <f>Q14</f>
        <v>0</v>
      </c>
      <c r="S14" s="48">
        <f>S12*S13</f>
        <v>0</v>
      </c>
      <c r="T14" s="49">
        <f>S14</f>
        <v>0</v>
      </c>
      <c r="U14" s="48">
        <f>U12*U13</f>
        <v>0</v>
      </c>
      <c r="V14" s="49">
        <f>U14</f>
        <v>0</v>
      </c>
      <c r="X14" s="77"/>
      <c r="Y14" s="78"/>
      <c r="Z14" s="79"/>
      <c r="AA14" s="80">
        <f>$EE$13</f>
        <v>0</v>
      </c>
      <c r="AB14" s="81" t="s">
        <v>12</v>
      </c>
      <c r="AC14" s="79">
        <f>$EF$13</f>
        <v>0</v>
      </c>
      <c r="AD14" s="82">
        <f>$EG$13</f>
        <v>0</v>
      </c>
      <c r="AE14" s="82">
        <f>$EH$13</f>
        <v>0</v>
      </c>
      <c r="AF14" s="34"/>
      <c r="AG14" s="34"/>
      <c r="AH14" s="34"/>
      <c r="AI14" s="34"/>
      <c r="AJ14" s="34"/>
      <c r="AL14" s="5">
        <f>MAX(I14,K14,M14,O14,Q14,S14,U14)</f>
        <v>0</v>
      </c>
      <c r="AM14" s="5">
        <f>MIN(I14,K14,M14,O14,Q14,S14,U14)</f>
        <v>0</v>
      </c>
      <c r="AS14" s="13"/>
      <c r="BC14" s="14"/>
      <c r="BF14" s="14"/>
      <c r="BG14" s="13"/>
      <c r="BI14" s="14"/>
      <c r="BJ14" s="13"/>
      <c r="BL14" s="14"/>
      <c r="BM14" s="13"/>
      <c r="BO14" s="14"/>
      <c r="BP14" s="13"/>
      <c r="BR14" s="14"/>
      <c r="BS14" s="13"/>
      <c r="BU14" s="14"/>
      <c r="BV14" s="13"/>
      <c r="BX14" s="14"/>
      <c r="BY14" s="13"/>
      <c r="CA14" s="14"/>
      <c r="CB14" s="13"/>
      <c r="CD14" s="14"/>
      <c r="CE14" s="13"/>
      <c r="CG14" s="14"/>
      <c r="CH14" s="13"/>
      <c r="CJ14" s="14"/>
      <c r="CK14" s="13"/>
      <c r="CM14" s="14"/>
      <c r="CN14" s="13"/>
      <c r="CP14" s="14"/>
      <c r="CQ14" s="13"/>
      <c r="CS14" s="14"/>
      <c r="CT14" s="13"/>
      <c r="CV14" s="14"/>
      <c r="CW14" s="13"/>
      <c r="CY14" s="14"/>
      <c r="CZ14" s="13"/>
      <c r="DB14" s="14"/>
      <c r="DC14" s="13"/>
      <c r="DE14" s="14"/>
      <c r="DN14" s="12"/>
      <c r="DS14" s="5">
        <f>IF(DZ14&lt;DZ1,1,0)+IF(DZ14&lt;DZ2,1,0)+IF(DZ14&lt;DZ3,1,0)+IF(DZ14&lt;DZ4,1,0)+IF(DZ14&lt;DZ5,1,0)+IF(DZ14&lt;DZ6,1,0)+IF(DZ14&lt;DZ7,1,0)+IF(DZ14&lt;DZ8,1,0)+IF(DZ14&lt;DZ9,1,0)+IF(DZ14&lt;DZ10,1,0)+IF(DZ14&lt;DZ11,1,0)+IF(DZ14&lt;DZ12,1,0)+IF(DZ14&lt;DZ13,1,0)+IF(DZ14&lt;DZ15,1,0)+IF(DZ14&lt;DZ16,1,0)+IF(DZ14&lt;DZ17,1,0)+IF(DZ14&lt;DZ18,1,0)</f>
        <v>4</v>
      </c>
      <c r="DT14" s="5" t="str">
        <f>ß14</f>
        <v>Stuttgart</v>
      </c>
      <c r="DU14" s="5">
        <f t="shared" si="0"/>
        <v>0</v>
      </c>
      <c r="DV14" s="5">
        <f t="shared" si="1"/>
        <v>0</v>
      </c>
      <c r="DW14" s="5">
        <f t="shared" si="2"/>
        <v>0</v>
      </c>
      <c r="DX14" s="5">
        <f t="shared" si="3"/>
        <v>0</v>
      </c>
      <c r="DY14" s="5">
        <f t="shared" si="4"/>
        <v>0</v>
      </c>
      <c r="DZ14" s="5">
        <f>DV14*1000000+(DW14-DX14)*1000+DW14+0.14</f>
        <v>0.14000000000000001</v>
      </c>
      <c r="EB14" s="5">
        <v>14</v>
      </c>
      <c r="EC14" s="5" t="str">
        <f>VLOOKUP(13,$DS$1:$DY$18,2,FALSE())</f>
        <v>Frankfurt</v>
      </c>
      <c r="ED14" s="5">
        <f>VLOOKUP(13,$DS$1:$DY$18,3,FALSE())</f>
        <v>0</v>
      </c>
      <c r="EE14" s="5">
        <f>VLOOKUP(13,$DS$1:$DY$18,5,FALSE())</f>
        <v>0</v>
      </c>
      <c r="EF14" s="5">
        <f>VLOOKUP(13,$DS$1:$DY$18,6,FALSE())</f>
        <v>0</v>
      </c>
      <c r="EG14" s="5">
        <f>VLOOKUP(13,$DS$1:$DY$18,7,FALSE())</f>
        <v>0</v>
      </c>
      <c r="EH14" s="5">
        <f>VLOOKUP(13,$DS$1:$DY$18,4,FALSE())</f>
        <v>0</v>
      </c>
    </row>
    <row r="15" spans="1:170" ht="11.25" customHeight="1" thickTop="1" x14ac:dyDescent="0.2">
      <c r="I15" s="50"/>
      <c r="J15" s="50">
        <f>L14-J14</f>
        <v>0</v>
      </c>
      <c r="K15" s="50"/>
      <c r="L15" s="50"/>
      <c r="M15" s="50"/>
      <c r="N15" s="50">
        <f>L14-N14</f>
        <v>0</v>
      </c>
      <c r="O15" s="50"/>
      <c r="P15" s="50">
        <f>L14-P14</f>
        <v>0</v>
      </c>
      <c r="Q15" s="50"/>
      <c r="R15" s="50">
        <f>L14-R14</f>
        <v>0</v>
      </c>
      <c r="S15" s="50"/>
      <c r="T15" s="50">
        <f>L14-T14</f>
        <v>0</v>
      </c>
      <c r="U15" s="50"/>
      <c r="V15" s="50">
        <f>L14-V14</f>
        <v>0</v>
      </c>
      <c r="X15" s="77"/>
      <c r="Y15" s="78"/>
      <c r="Z15" s="79"/>
      <c r="AA15" s="80">
        <f>$EE$14</f>
        <v>0</v>
      </c>
      <c r="AB15" s="81" t="s">
        <v>12</v>
      </c>
      <c r="AC15" s="79">
        <f>$EF$14</f>
        <v>0</v>
      </c>
      <c r="AD15" s="82">
        <f>$EG$14</f>
        <v>0</v>
      </c>
      <c r="AE15" s="82">
        <f>$EH$14</f>
        <v>0</v>
      </c>
      <c r="DS15" s="5">
        <f>IF(DZ15&lt;DZ1,1,0)+IF(DZ15&lt;DZ2,1,0)+IF(DZ15&lt;DZ3,1,0)+IF(DZ15&lt;DZ4,1,0)+IF(DZ15&lt;DZ5,1,0)+IF(DZ15&lt;DZ6,1,0)+IF(DZ15&lt;DZ7,1,0)+IF(DZ15&lt;DZ8,1,0)+IF(DZ15&lt;DZ9,1,0)+IF(DZ15&lt;DZ10,1,0)+IF(DZ15&lt;DZ11,1,0)+IF(DZ15&lt;DZ12,1,0)+IF(DZ15&lt;DZ13,1,0)+IF(DZ15&lt;DZ14,1,0)+IF(DZ15&lt;DZ16,1,0)+IF(DZ15&lt;DZ17,1,0)+IF(DZ15&lt;DZ18,1,0)</f>
        <v>3</v>
      </c>
      <c r="DT15" s="5" t="str">
        <f>ß15</f>
        <v>St. Pauli</v>
      </c>
      <c r="DU15" s="5">
        <f t="shared" si="0"/>
        <v>0</v>
      </c>
      <c r="DV15" s="5">
        <f t="shared" si="1"/>
        <v>0</v>
      </c>
      <c r="DW15" s="5">
        <f t="shared" si="2"/>
        <v>0</v>
      </c>
      <c r="DX15" s="5">
        <f t="shared" si="3"/>
        <v>0</v>
      </c>
      <c r="DY15" s="5">
        <f t="shared" si="4"/>
        <v>0</v>
      </c>
      <c r="DZ15" s="5">
        <f>DV15*1000000+(DW15-DX15)*1000+DW15+0.15</f>
        <v>0.15</v>
      </c>
      <c r="EB15" s="5">
        <v>15</v>
      </c>
      <c r="EC15" s="5" t="str">
        <f>VLOOKUP(14,$DS$1:$DY$18,2,FALSE())</f>
        <v>Hoffenheim</v>
      </c>
      <c r="ED15" s="5">
        <f>VLOOKUP(14,$DS$1:$DY$18,3,FALSE())</f>
        <v>0</v>
      </c>
      <c r="EE15" s="5">
        <f>VLOOKUP(14,$DS$1:$DY$18,5,FALSE())</f>
        <v>0</v>
      </c>
      <c r="EF15" s="5">
        <f>VLOOKUP(14,$DS$1:$DY$18,6,FALSE())</f>
        <v>0</v>
      </c>
      <c r="EG15" s="5">
        <f>VLOOKUP(14,$DS$1:$DY$18,7,FALSE())</f>
        <v>0</v>
      </c>
      <c r="EH15" s="5">
        <f>VLOOKUP(14,$DS$1:$DY$18,4,FALSE())</f>
        <v>0</v>
      </c>
    </row>
    <row r="16" spans="1:170" ht="11.25" customHeight="1" x14ac:dyDescent="0.2">
      <c r="A16" s="51"/>
      <c r="I16" s="139" t="str">
        <f>ß101</f>
        <v>Kropp</v>
      </c>
      <c r="J16" s="139"/>
      <c r="K16" s="139" t="str">
        <f>ß102</f>
        <v>Nörnberg</v>
      </c>
      <c r="L16" s="139"/>
      <c r="M16" s="139" t="str">
        <f>ß103</f>
        <v>Bübel</v>
      </c>
      <c r="N16" s="139"/>
      <c r="O16" s="139" t="str">
        <f>ß104</f>
        <v>Schwicht.</v>
      </c>
      <c r="P16" s="139"/>
      <c r="Q16" s="139" t="str">
        <f>ß105</f>
        <v>Rontzko.</v>
      </c>
      <c r="R16" s="139"/>
      <c r="S16" s="139" t="str">
        <f>ß106</f>
        <v>Hauschildt</v>
      </c>
      <c r="T16" s="139"/>
      <c r="U16" s="139" t="str">
        <f>ß107</f>
        <v>Zerres</v>
      </c>
      <c r="V16" s="139"/>
      <c r="X16" s="77"/>
      <c r="Y16" s="78"/>
      <c r="Z16" s="79"/>
      <c r="AA16" s="80">
        <f>$EE$15</f>
        <v>0</v>
      </c>
      <c r="AB16" s="81" t="s">
        <v>12</v>
      </c>
      <c r="AC16" s="79">
        <f>$EF$15</f>
        <v>0</v>
      </c>
      <c r="AD16" s="82">
        <f>$EG$15</f>
        <v>0</v>
      </c>
      <c r="AE16" s="82">
        <f>$EH$15</f>
        <v>0</v>
      </c>
      <c r="AF16" s="11"/>
      <c r="AG16" s="11"/>
      <c r="AH16" s="11"/>
      <c r="AI16" s="11"/>
      <c r="AJ16" s="11"/>
      <c r="AL16" s="5" t="str">
        <f>IF($I29=$AL29,I16,"x")</f>
        <v>Kropp</v>
      </c>
      <c r="AM16" s="5" t="str">
        <f>IF($K29=$AL29,K16,"x")</f>
        <v>Nörnberg</v>
      </c>
      <c r="AN16" s="5" t="str">
        <f>IF($M29=$AL29,M16,"x")</f>
        <v>Bübel</v>
      </c>
      <c r="AO16" s="5" t="str">
        <f>IF($O29=$AL29,O16,"x")</f>
        <v>Schwicht.</v>
      </c>
      <c r="AP16" s="5" t="str">
        <f>IF($Q29=$AL29,Q16,"x")</f>
        <v>Rontzko.</v>
      </c>
      <c r="AQ16" s="5" t="str">
        <f>IF($S29=$AL29,S16,"x")</f>
        <v>Hauschildt</v>
      </c>
      <c r="AR16" s="5" t="str">
        <f>IF($U29=$AL29,U16,"x")</f>
        <v>Zerres</v>
      </c>
      <c r="AS16" s="13" t="str">
        <f>IF($I29=$AM29,I16,"x")</f>
        <v>Kropp</v>
      </c>
      <c r="AT16" s="5" t="str">
        <f>IF($K29=$AM29,K16,"x")</f>
        <v>Nörnberg</v>
      </c>
      <c r="AU16" s="5" t="str">
        <f>IF($M29=$AM29,M16,"x")</f>
        <v>Bübel</v>
      </c>
      <c r="AV16" s="5" t="str">
        <f>IF($O29=$AM29,O16,"x")</f>
        <v>Schwicht.</v>
      </c>
      <c r="AW16" s="5" t="str">
        <f>IF($Q29=$AM29,Q16,"x")</f>
        <v>Rontzko.</v>
      </c>
      <c r="AX16" s="5" t="str">
        <f>IF($S29=$AM29,S16,"x")</f>
        <v>Hauschildt</v>
      </c>
      <c r="AY16" s="5" t="str">
        <f>IF($U29=$AM29,U16,"x")</f>
        <v>Zerres</v>
      </c>
      <c r="BD16" s="140" t="str">
        <f>ß01</f>
        <v>Bayern</v>
      </c>
      <c r="BE16" s="140"/>
      <c r="BF16" s="140"/>
      <c r="BG16" s="141" t="str">
        <f>ß02</f>
        <v>Leipzig</v>
      </c>
      <c r="BH16" s="141"/>
      <c r="BI16" s="141"/>
      <c r="BJ16" s="141" t="str">
        <f>ß03</f>
        <v>Leverk.</v>
      </c>
      <c r="BK16" s="141"/>
      <c r="BL16" s="141"/>
      <c r="BM16" s="141" t="str">
        <f>ß04</f>
        <v>Hoffenheim</v>
      </c>
      <c r="BN16" s="141"/>
      <c r="BO16" s="141"/>
      <c r="BP16" s="141" t="str">
        <f>ß05</f>
        <v>Frankfurt</v>
      </c>
      <c r="BQ16" s="141"/>
      <c r="BR16" s="141"/>
      <c r="BS16" s="141" t="str">
        <f>ß06</f>
        <v>Werder</v>
      </c>
      <c r="BT16" s="141"/>
      <c r="BU16" s="141"/>
      <c r="BV16" s="141" t="str">
        <f>ß07</f>
        <v>Freiburg</v>
      </c>
      <c r="BW16" s="141"/>
      <c r="BX16" s="141"/>
      <c r="BY16" s="141" t="str">
        <f>ß08</f>
        <v>Augsburg</v>
      </c>
      <c r="BZ16" s="141"/>
      <c r="CA16" s="141"/>
      <c r="CB16" s="141" t="str">
        <f>ß09</f>
        <v>Mainz</v>
      </c>
      <c r="CC16" s="141"/>
      <c r="CD16" s="141"/>
      <c r="CE16" s="141" t="str">
        <f>ß10</f>
        <v>Köln</v>
      </c>
      <c r="CF16" s="141"/>
      <c r="CG16" s="141"/>
      <c r="CH16" s="141" t="str">
        <f>ß11</f>
        <v>M'gladb.</v>
      </c>
      <c r="CI16" s="141"/>
      <c r="CJ16" s="141"/>
      <c r="CK16" s="141" t="str">
        <f>ß12</f>
        <v>HSV</v>
      </c>
      <c r="CL16" s="141"/>
      <c r="CM16" s="141"/>
      <c r="CN16" s="141" t="str">
        <f>ß13</f>
        <v>Union</v>
      </c>
      <c r="CO16" s="141"/>
      <c r="CP16" s="141"/>
      <c r="CQ16" s="141" t="str">
        <f>ß14</f>
        <v>Stuttgart</v>
      </c>
      <c r="CR16" s="141"/>
      <c r="CS16" s="141"/>
      <c r="CT16" s="141" t="str">
        <f>ß15</f>
        <v>St. Pauli</v>
      </c>
      <c r="CU16" s="141"/>
      <c r="CV16" s="141"/>
      <c r="CW16" s="141" t="str">
        <f>ß16</f>
        <v>Dortmund</v>
      </c>
      <c r="CX16" s="141"/>
      <c r="CY16" s="141"/>
      <c r="CZ16" s="141" t="str">
        <f>ß17</f>
        <v>Heidenheim</v>
      </c>
      <c r="DA16" s="141"/>
      <c r="DB16" s="141"/>
      <c r="DC16" s="141" t="str">
        <f>ß18</f>
        <v>Wolfsburg</v>
      </c>
      <c r="DD16" s="141"/>
      <c r="DE16" s="141"/>
      <c r="DN16" s="12"/>
      <c r="DS16" s="5">
        <f>IF(DZ16&lt;DZ1,1,0)+IF(DZ16&lt;DZ2,1,0)+IF(DZ16&lt;DZ3,1,0)+IF(DZ16&lt;DZ4,1,0)+IF(DZ16&lt;DZ5,1,0)+IF(DZ16&lt;DZ6,1,0)+IF(DZ16&lt;DZ7,1,0)+IF(DZ16&lt;DZ8,1,0)+IF(DZ16&lt;DZ9,1,0)+IF(DZ16&lt;DZ10,1,0)+IF(DZ16&lt;DZ11,1,0)+IF(DZ16&lt;DZ12,1,0)+IF(DZ16&lt;DZ13,1,0)+IF(DZ16&lt;DZ14,1,0)+IF(DZ16&lt;DZ15,1,0)+IF(DZ16&lt;DZ17,1,0)+IF(DZ16&lt;DZ18,1,0)</f>
        <v>2</v>
      </c>
      <c r="DT16" s="5" t="str">
        <f>ß16</f>
        <v>Dortmund</v>
      </c>
      <c r="DU16" s="5">
        <f t="shared" si="0"/>
        <v>0</v>
      </c>
      <c r="DV16" s="5">
        <f t="shared" si="1"/>
        <v>0</v>
      </c>
      <c r="DW16" s="5">
        <f t="shared" si="2"/>
        <v>0</v>
      </c>
      <c r="DX16" s="5">
        <f t="shared" si="3"/>
        <v>0</v>
      </c>
      <c r="DY16" s="5">
        <f t="shared" si="4"/>
        <v>0</v>
      </c>
      <c r="DZ16" s="5">
        <f>DV16*1000000+(DW16-DX16)*1000+DW16+0.16</f>
        <v>0.16</v>
      </c>
      <c r="EB16" s="5">
        <v>16</v>
      </c>
      <c r="EC16" s="5" t="str">
        <f>VLOOKUP(15,$DS$1:$DY$18,2,FALSE())</f>
        <v>Leverk.</v>
      </c>
      <c r="ED16" s="5">
        <f>VLOOKUP(15,$DS$1:$DY$18,3,FALSE())</f>
        <v>0</v>
      </c>
      <c r="EE16" s="5">
        <f>VLOOKUP(15,$DS$1:$DY$18,5,FALSE())</f>
        <v>0</v>
      </c>
      <c r="EF16" s="5">
        <f>VLOOKUP(15,$DS$1:$DY$18,6,FALSE())</f>
        <v>0</v>
      </c>
      <c r="EG16" s="5">
        <f>VLOOKUP(15,$DS$1:$DY$18,7,FALSE())</f>
        <v>0</v>
      </c>
      <c r="EH16" s="5">
        <f>VLOOKUP(15,$DS$1:$DY$18,4,FALSE())</f>
        <v>0</v>
      </c>
    </row>
    <row r="17" spans="1:170" s="21" customFormat="1" ht="11.25" customHeight="1" x14ac:dyDescent="0.2">
      <c r="A17" s="1"/>
      <c r="B17" s="1"/>
      <c r="C17" s="16" t="str">
        <f>Mannschaften!F2</f>
        <v>2. Spieltag</v>
      </c>
      <c r="D17" s="11"/>
      <c r="E17" s="17" t="str">
        <f>Mannschaften!G2</f>
        <v>29.-31.8.25</v>
      </c>
      <c r="F17" s="18"/>
      <c r="G17" s="11"/>
      <c r="H17" s="16"/>
      <c r="I17" s="19">
        <f>RANK(Rang!A2,Rang!A2:G2)</f>
        <v>1</v>
      </c>
      <c r="J17" s="20">
        <f>RANK(Rang!H2,Rang!H2:N2)</f>
        <v>1</v>
      </c>
      <c r="K17" s="19">
        <f>RANK(Rang!B2,Rang!A2:G2)</f>
        <v>1</v>
      </c>
      <c r="L17" s="20">
        <f>RANK(Rang!I2,Rang!H2:N2)</f>
        <v>1</v>
      </c>
      <c r="M17" s="19">
        <f>RANK(Rang!C2,Rang!A2:G2)</f>
        <v>1</v>
      </c>
      <c r="N17" s="20">
        <f>RANK(Rang!J2,Rang!H2:N2)</f>
        <v>1</v>
      </c>
      <c r="O17" s="19">
        <f>RANK(Rang!D2,Rang!A2:G2)</f>
        <v>1</v>
      </c>
      <c r="P17" s="20">
        <f>RANK(Rang!K2,Rang!H2:N2)</f>
        <v>1</v>
      </c>
      <c r="Q17" s="19">
        <f>RANK(Rang!E2,Rang!A2:G2)</f>
        <v>1</v>
      </c>
      <c r="R17" s="20">
        <f>RANK(Rang!L2,Rang!H2:N2)</f>
        <v>1</v>
      </c>
      <c r="S17" s="19">
        <f>RANK(Rang!F2,Rang!A2:G2)</f>
        <v>1</v>
      </c>
      <c r="T17" s="20">
        <f>RANK(Rang!M2,Rang!H2:N2)</f>
        <v>1</v>
      </c>
      <c r="U17" s="19">
        <f>RANK(Rang!G2,Rang!A2:G2)</f>
        <v>1</v>
      </c>
      <c r="V17" s="20">
        <f>RANK(Rang!N2,Rang!H2:N2)</f>
        <v>1</v>
      </c>
      <c r="X17" s="84"/>
      <c r="Y17" s="85"/>
      <c r="Z17" s="86"/>
      <c r="AA17" s="87">
        <f>$EE$16</f>
        <v>0</v>
      </c>
      <c r="AB17" s="88" t="s">
        <v>12</v>
      </c>
      <c r="AC17" s="86">
        <f>$EF$16</f>
        <v>0</v>
      </c>
      <c r="AD17" s="89">
        <f>$EG$16</f>
        <v>0</v>
      </c>
      <c r="AE17" s="89">
        <f>$EH$16</f>
        <v>0</v>
      </c>
      <c r="AF17" s="22"/>
      <c r="AG17" s="22"/>
      <c r="AH17" s="22"/>
      <c r="AI17" s="22"/>
      <c r="AJ17" s="22"/>
      <c r="AS17" s="24"/>
      <c r="BC17" s="23"/>
      <c r="BD17" s="25" t="s">
        <v>4</v>
      </c>
      <c r="BE17" s="25" t="s">
        <v>5</v>
      </c>
      <c r="BF17" s="26" t="s">
        <v>6</v>
      </c>
      <c r="BG17" s="27" t="s">
        <v>4</v>
      </c>
      <c r="BH17" s="25" t="s">
        <v>5</v>
      </c>
      <c r="BI17" s="26" t="s">
        <v>6</v>
      </c>
      <c r="BJ17" s="27" t="s">
        <v>4</v>
      </c>
      <c r="BK17" s="25" t="s">
        <v>5</v>
      </c>
      <c r="BL17" s="26" t="s">
        <v>6</v>
      </c>
      <c r="BM17" s="27" t="s">
        <v>4</v>
      </c>
      <c r="BN17" s="25" t="s">
        <v>5</v>
      </c>
      <c r="BO17" s="26" t="s">
        <v>6</v>
      </c>
      <c r="BP17" s="27" t="s">
        <v>4</v>
      </c>
      <c r="BQ17" s="25" t="s">
        <v>5</v>
      </c>
      <c r="BR17" s="26" t="s">
        <v>6</v>
      </c>
      <c r="BS17" s="27" t="s">
        <v>4</v>
      </c>
      <c r="BT17" s="25" t="s">
        <v>5</v>
      </c>
      <c r="BU17" s="26" t="s">
        <v>6</v>
      </c>
      <c r="BV17" s="27" t="s">
        <v>4</v>
      </c>
      <c r="BW17" s="25" t="s">
        <v>5</v>
      </c>
      <c r="BX17" s="26" t="s">
        <v>6</v>
      </c>
      <c r="BY17" s="27" t="s">
        <v>4</v>
      </c>
      <c r="BZ17" s="25" t="s">
        <v>5</v>
      </c>
      <c r="CA17" s="26" t="s">
        <v>6</v>
      </c>
      <c r="CB17" s="27" t="s">
        <v>4</v>
      </c>
      <c r="CC17" s="25" t="s">
        <v>5</v>
      </c>
      <c r="CD17" s="26" t="s">
        <v>6</v>
      </c>
      <c r="CE17" s="27" t="s">
        <v>4</v>
      </c>
      <c r="CF17" s="25" t="s">
        <v>5</v>
      </c>
      <c r="CG17" s="26" t="s">
        <v>6</v>
      </c>
      <c r="CH17" s="27" t="s">
        <v>4</v>
      </c>
      <c r="CI17" s="25" t="s">
        <v>5</v>
      </c>
      <c r="CJ17" s="26" t="s">
        <v>6</v>
      </c>
      <c r="CK17" s="27" t="s">
        <v>4</v>
      </c>
      <c r="CL17" s="25" t="s">
        <v>5</v>
      </c>
      <c r="CM17" s="26" t="s">
        <v>6</v>
      </c>
      <c r="CN17" s="27" t="s">
        <v>4</v>
      </c>
      <c r="CO17" s="25" t="s">
        <v>5</v>
      </c>
      <c r="CP17" s="26" t="s">
        <v>6</v>
      </c>
      <c r="CQ17" s="27" t="s">
        <v>4</v>
      </c>
      <c r="CR17" s="25" t="s">
        <v>5</v>
      </c>
      <c r="CS17" s="26" t="s">
        <v>6</v>
      </c>
      <c r="CT17" s="27" t="s">
        <v>4</v>
      </c>
      <c r="CU17" s="25" t="s">
        <v>5</v>
      </c>
      <c r="CV17" s="26" t="s">
        <v>6</v>
      </c>
      <c r="CW17" s="27" t="s">
        <v>4</v>
      </c>
      <c r="CX17" s="25" t="s">
        <v>5</v>
      </c>
      <c r="CY17" s="26" t="s">
        <v>6</v>
      </c>
      <c r="CZ17" s="27" t="s">
        <v>4</v>
      </c>
      <c r="DA17" s="25" t="s">
        <v>5</v>
      </c>
      <c r="DB17" s="26" t="s">
        <v>6</v>
      </c>
      <c r="DC17" s="27" t="s">
        <v>4</v>
      </c>
      <c r="DD17" s="25" t="s">
        <v>5</v>
      </c>
      <c r="DE17" s="26" t="s">
        <v>6</v>
      </c>
      <c r="DN17" s="136" t="s">
        <v>7</v>
      </c>
      <c r="DO17" s="136"/>
      <c r="DP17" s="136" t="s">
        <v>8</v>
      </c>
      <c r="DQ17" s="136"/>
      <c r="DR17" s="28"/>
      <c r="DS17" s="5">
        <f>IF(DZ17&lt;DZ1,1,0)+IF(DZ17&lt;DZ2,1,0)+IF(DZ17&lt;DZ3,1,0)+IF(DZ17&lt;DZ4,1,0)+IF(DZ17&lt;DZ5,1,0)+IF(DZ17&lt;DZ6,1,0)+IF(DZ17&lt;DZ7,1,0)+IF(DZ17&lt;DZ8,1,0)+IF(DZ17&lt;DZ9,1,0)+IF(DZ17&lt;DZ10,1,0)+IF(DZ17&lt;DZ11,1,0)+IF(DZ17&lt;DZ12,1,0)+IF(DZ17&lt;DZ13,1,0)+IF(DZ17&lt;DZ14,1,0)+IF(DZ17&lt;DZ15,1,0)+IF(DZ17&lt;DZ16,1,0)+IF(DZ17&lt;DZ18,1,0)</f>
        <v>1</v>
      </c>
      <c r="DT17" s="5" t="str">
        <f>ß17</f>
        <v>Heidenheim</v>
      </c>
      <c r="DU17" s="5">
        <f t="shared" si="0"/>
        <v>0</v>
      </c>
      <c r="DV17" s="5">
        <f t="shared" si="1"/>
        <v>0</v>
      </c>
      <c r="DW17" s="5">
        <f t="shared" si="2"/>
        <v>0</v>
      </c>
      <c r="DX17" s="5">
        <f t="shared" si="3"/>
        <v>0</v>
      </c>
      <c r="DY17" s="5">
        <f t="shared" si="4"/>
        <v>0</v>
      </c>
      <c r="DZ17" s="5">
        <f>DV17*1000000+(DW17-DX17)*1000+DW17+0.17</f>
        <v>0.17</v>
      </c>
      <c r="EA17" s="5"/>
      <c r="EB17" s="5">
        <v>17</v>
      </c>
      <c r="EC17" s="5" t="str">
        <f>VLOOKUP(16,$DS$1:$DY$18,2,FALSE())</f>
        <v>Leipzig</v>
      </c>
      <c r="ED17" s="5">
        <f>VLOOKUP(16,$DS$1:$DY$18,3,FALSE())</f>
        <v>0</v>
      </c>
      <c r="EE17" s="5">
        <f>VLOOKUP(16,$DS$1:$DY$18,5,FALSE())</f>
        <v>0</v>
      </c>
      <c r="EF17" s="5">
        <f>VLOOKUP(16,$DS$1:$DY$18,6,FALSE())</f>
        <v>0</v>
      </c>
      <c r="EG17" s="5">
        <f>VLOOKUP(16,$DS$1:$DY$18,7,FALSE())</f>
        <v>0</v>
      </c>
      <c r="EH17" s="5">
        <f>VLOOKUP(16,$DS$1:$DY$18,4,FALSE())</f>
        <v>0</v>
      </c>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row>
    <row r="18" spans="1:170" ht="11.25" customHeight="1" x14ac:dyDescent="0.2">
      <c r="C18" s="2" t="str">
        <f>ß16</f>
        <v>Dortmund</v>
      </c>
      <c r="D18" s="3" t="s">
        <v>11</v>
      </c>
      <c r="E18" s="2" t="str">
        <f>ß13</f>
        <v>Union</v>
      </c>
      <c r="F18" s="29"/>
      <c r="G18" s="3" t="s">
        <v>12</v>
      </c>
      <c r="H18" s="30"/>
      <c r="I18" s="31"/>
      <c r="J18" s="32" t="str">
        <f t="shared" ref="J18:J26" si="19">IF($F18="","",(IF(I18="","",IF(I18=$DG18,(VLOOKUP($DH18,$DJ$3:$DK$11,2,FALSE())),0))))</f>
        <v/>
      </c>
      <c r="K18" s="31"/>
      <c r="L18" s="32" t="str">
        <f t="shared" ref="L18:L26" si="20">IF($F18="","",(IF(K18="","",IF(K18=$DG18,(VLOOKUP($DH18,$DJ$3:$DK$11,2,FALSE())),0))))</f>
        <v/>
      </c>
      <c r="M18" s="31"/>
      <c r="N18" s="32" t="str">
        <f t="shared" ref="N18:N26" si="21">IF($F18="","",(IF(M18="","",IF(M18=$DG18,(VLOOKUP($DH18,$DJ$3:$DK$11,2,FALSE())),0))))</f>
        <v/>
      </c>
      <c r="O18" s="31"/>
      <c r="P18" s="32" t="str">
        <f t="shared" ref="P18:P26" si="22">IF($F18="","",(IF(O18="","",IF(O18=$DG18,(VLOOKUP($DH18,$DJ$3:$DK$11,2,FALSE())),0))))</f>
        <v/>
      </c>
      <c r="Q18" s="31"/>
      <c r="R18" s="32" t="str">
        <f t="shared" ref="R18:R26" si="23">IF($F18="","",(IF(Q18="","",IF(Q18=$DG18,(VLOOKUP($DH18,$DJ$3:$DK$11,2,FALSE())),0))))</f>
        <v/>
      </c>
      <c r="S18" s="31"/>
      <c r="T18" s="32" t="str">
        <f t="shared" ref="T18:T26" si="24">IF($F18="","",(IF(S18="","",IF(S18=$DG18,(VLOOKUP($DH18,$DJ$3:$DK$11,2,FALSE())),0))))</f>
        <v/>
      </c>
      <c r="U18" s="31"/>
      <c r="V18" s="32" t="str">
        <f t="shared" ref="V18:V26" si="25">IF($F18="","",(IF(U18="","",IF(U18=$DG18,(VLOOKUP($DH18,$DJ$3:$DK$11,2,FALSE())),0))))</f>
        <v/>
      </c>
      <c r="X18" s="90"/>
      <c r="Y18" s="91"/>
      <c r="Z18" s="92"/>
      <c r="AA18" s="93">
        <f>$EE$17</f>
        <v>0</v>
      </c>
      <c r="AB18" s="94" t="s">
        <v>12</v>
      </c>
      <c r="AC18" s="92">
        <f>$EF$17</f>
        <v>0</v>
      </c>
      <c r="AD18" s="95">
        <f>$EG$17</f>
        <v>0</v>
      </c>
      <c r="AE18" s="95">
        <f>$EH$17</f>
        <v>0</v>
      </c>
      <c r="AF18" s="34"/>
      <c r="AG18" s="34"/>
      <c r="AH18" s="34"/>
      <c r="AI18" s="34"/>
      <c r="AJ18" s="34"/>
      <c r="AN18" s="5"/>
      <c r="AO18" s="5"/>
      <c r="AP18" s="5"/>
      <c r="AQ18" s="5"/>
      <c r="AR18" s="5"/>
      <c r="AS18" s="13"/>
      <c r="AT18" s="5"/>
      <c r="AU18" s="5"/>
      <c r="AV18" s="5"/>
      <c r="AW18" s="5"/>
      <c r="AX18" s="5"/>
      <c r="AY18" s="5"/>
      <c r="BC18" s="6">
        <v>17</v>
      </c>
      <c r="BD18" s="35" t="str">
        <f>IF(ISERROR(MATCH(ß01,$C18:$C26,0)),"",MATCH(ß01,$C18:$C26,0))</f>
        <v/>
      </c>
      <c r="BE18" s="35">
        <f>IF(ISERROR(MATCH(ß01,$E18:$E26,0)),"",MATCH(ß01,$E18:$E26,0))</f>
        <v>6</v>
      </c>
      <c r="BF18" s="15">
        <f>SUM(BD18:BE18)+BC18</f>
        <v>23</v>
      </c>
      <c r="BG18" s="36">
        <f>IF(ISERROR(MATCH(ß02,$C18:$C26,0)),"",MATCH(ß02,$C18:$C26,0))</f>
        <v>2</v>
      </c>
      <c r="BH18" s="35" t="str">
        <f>IF(ISERROR(MATCH(ß02,$E18:$E26,0)),"",MATCH(ß02,$E18:$E26,0))</f>
        <v/>
      </c>
      <c r="BI18" s="15">
        <f>SUM(BG18:BH18)+BC18</f>
        <v>19</v>
      </c>
      <c r="BJ18" s="36" t="str">
        <f>IF(ISERROR(MATCH(ß03,$C18:$C26,0)),"",MATCH(ß03,$C18:$C26,0))</f>
        <v/>
      </c>
      <c r="BK18" s="35">
        <f>IF(ISERROR(MATCH(ß03,$E18:$E26,0)),"",MATCH(ß03,$E18:$E26,0))</f>
        <v>3</v>
      </c>
      <c r="BL18" s="15">
        <f>SUM(BJ18:BK18)+BC18</f>
        <v>20</v>
      </c>
      <c r="BM18" s="36">
        <f>IF(ISERROR(MATCH(ß04,$C18:$C26,0)),"",MATCH(ß04,$C18:$C26,0))</f>
        <v>7</v>
      </c>
      <c r="BN18" s="35" t="str">
        <f>IF(ISERROR(MATCH(ß04,$E18:$E26,0)),"",MATCH(ß04,$E18:$E26,0))</f>
        <v/>
      </c>
      <c r="BO18" s="15">
        <f>SUM(BM18:BN18)+BC18</f>
        <v>24</v>
      </c>
      <c r="BP18" s="36" t="str">
        <f>IF(ISERROR(MATCH(ß05,$C18:$C26,0)),"",MATCH(ß05,$C18:$C26,0))</f>
        <v/>
      </c>
      <c r="BQ18" s="35">
        <f>IF(ISERROR(MATCH(ß05,$E18:$E26,0)),"",MATCH(ß05,$E18:$E26,0))</f>
        <v>7</v>
      </c>
      <c r="BR18" s="15">
        <f>SUM(BP18:BQ18)+BC18</f>
        <v>24</v>
      </c>
      <c r="BS18" s="36">
        <f>IF(ISERROR(MATCH(ß06,$C18:$C26,0)),"",MATCH(ß06,$C18:$C26,0))</f>
        <v>3</v>
      </c>
      <c r="BT18" s="35" t="str">
        <f>IF(ISERROR(MATCH(ß06,$E18:$E26,0)),"",MATCH(ß06,$E18:$E26,0))</f>
        <v/>
      </c>
      <c r="BU18" s="15">
        <f>SUM(BS18:BT18)+BC18</f>
        <v>20</v>
      </c>
      <c r="BV18" s="36" t="str">
        <f>IF(ISERROR(MATCH(ß07,$C18:$C26,0)),"",MATCH(ß07,$C18:$C26,0))</f>
        <v/>
      </c>
      <c r="BW18" s="35">
        <f>IF(ISERROR(MATCH(ß07,$E18:$E26,0)),"",MATCH(ß07,$E18:$E26,0))</f>
        <v>8</v>
      </c>
      <c r="BX18" s="15">
        <f>SUM(BV18:BW18)+BC18</f>
        <v>25</v>
      </c>
      <c r="BY18" s="36">
        <f>IF(ISERROR(MATCH(ß08,$C18:$C26,0)),"",MATCH(ß08,$C18:$C26,0))</f>
        <v>6</v>
      </c>
      <c r="BZ18" s="35" t="str">
        <f>IF(ISERROR(MATCH(ß08,$E18:$E26,0)),"",MATCH(ß08,$E18:$E26,0))</f>
        <v/>
      </c>
      <c r="CA18" s="15">
        <f>SUM(BY18:BZ18)+BC18</f>
        <v>23</v>
      </c>
      <c r="CB18" s="36" t="str">
        <f>IF(ISERROR(MATCH(ß09,$C18:$C26,0)),"",MATCH(ß09,$C18:$C26,0))</f>
        <v/>
      </c>
      <c r="CC18" s="35">
        <f>IF(ISERROR(MATCH(ß09,$E18:$E26,0)),"",MATCH(ß09,$E18:$E26,0))</f>
        <v>5</v>
      </c>
      <c r="CD18" s="15">
        <f>SUM(CB18:CC18)+BC18</f>
        <v>22</v>
      </c>
      <c r="CE18" s="36">
        <f>IF(ISERROR(MATCH(ß10,$C18:$C26,0)),"",MATCH(ß10,$C18:$C26,0))</f>
        <v>8</v>
      </c>
      <c r="CF18" s="35" t="str">
        <f>IF(ISERROR(MATCH(ß10,$E18:$E26,0)),"",MATCH(ß10,$E18:$E26,0))</f>
        <v/>
      </c>
      <c r="CG18" s="15">
        <f>SUM(CE18:CF18)+BC18</f>
        <v>25</v>
      </c>
      <c r="CH18" s="36" t="str">
        <f>IF(ISERROR(MATCH(ß11,$C18:$C26,0)),"",MATCH(ß11,$C18:$C26,0))</f>
        <v/>
      </c>
      <c r="CI18" s="35">
        <f>IF(ISERROR(MATCH(ß11,$E18:$E26,0)),"",MATCH(ß11,$E18:$E26,0))</f>
        <v>4</v>
      </c>
      <c r="CJ18" s="15">
        <f>SUM(CH18:CI18)+BC18</f>
        <v>21</v>
      </c>
      <c r="CK18" s="36">
        <f>IF(ISERROR(MATCH(ß12,$C18:$C26,0)),"",MATCH(ß12,$C18:$C26,0))</f>
        <v>9</v>
      </c>
      <c r="CL18" s="35" t="str">
        <f>IF(ISERROR(MATCH(ß12,$E18:$E26,0)),"",MATCH(ß12,$E18:$E26,0))</f>
        <v/>
      </c>
      <c r="CM18" s="15">
        <f>SUM(CK18:CL18)+BC18</f>
        <v>26</v>
      </c>
      <c r="CN18" s="36" t="str">
        <f>IF(ISERROR(MATCH(ß13,$C18:$C26,0)),"",MATCH(ß13,$C18:$C26,0))</f>
        <v/>
      </c>
      <c r="CO18" s="35">
        <f>IF(ISERROR(MATCH(ß13,$E18:$E26,0)),"",MATCH(ß13,$E18:$E26,0))</f>
        <v>1</v>
      </c>
      <c r="CP18" s="15">
        <f>SUM(CN18:CO18)+BC18</f>
        <v>18</v>
      </c>
      <c r="CQ18" s="36">
        <f>IF(ISERROR(MATCH(ß14,$C18:$C26,0)),"",MATCH(ß14,$C18:$C26,0))</f>
        <v>4</v>
      </c>
      <c r="CR18" s="35" t="str">
        <f>IF(ISERROR(MATCH(ß14,$E18:$E26,0)),"",MATCH(ß14,$E18:$E26,0))</f>
        <v/>
      </c>
      <c r="CS18" s="15">
        <f>SUM(CQ18:CR18)+BC18</f>
        <v>21</v>
      </c>
      <c r="CT18" s="36" t="str">
        <f>IF(ISERROR(MATCH(ß15,$C18:$C26,0)),"",MATCH(ß15,$C18:$C26,0))</f>
        <v/>
      </c>
      <c r="CU18" s="35">
        <f>IF(ISERROR(MATCH(ß15,$E18:$E26,0)),"",MATCH(ß15,$E18:$E26,0))</f>
        <v>9</v>
      </c>
      <c r="CV18" s="15">
        <f>SUM(CT18:CU18)+BC18</f>
        <v>26</v>
      </c>
      <c r="CW18" s="36">
        <f>IF(ISERROR(MATCH(ß16,$C18:$C26,0)),"",MATCH(ß16,$C18:$C26,0))</f>
        <v>1</v>
      </c>
      <c r="CX18" s="35" t="str">
        <f>IF(ISERROR(MATCH(ß16,$E18:$E26,0)),"",MATCH(ß16,$E18:$E26,0))</f>
        <v/>
      </c>
      <c r="CY18" s="15">
        <f>SUM(CW18:CX18)+BC18</f>
        <v>18</v>
      </c>
      <c r="CZ18" s="36" t="str">
        <f>IF(ISERROR(MATCH(ß17,$C18:$C26,0)),"",MATCH(ß17,$C18:$C26,0))</f>
        <v/>
      </c>
      <c r="DA18" s="35">
        <f>IF(ISERROR(MATCH(ß17,$E18:$E26,0)),"",MATCH(ß17,$E18:$E26,0))</f>
        <v>2</v>
      </c>
      <c r="DB18" s="15">
        <f>SUM(CZ18:DA18)+BC18</f>
        <v>19</v>
      </c>
      <c r="DC18" s="36">
        <f>IF(ISERROR(MATCH(ß18,$C18:$C26,0)),"",MATCH(ß18,$C18:$C26,0))</f>
        <v>5</v>
      </c>
      <c r="DD18" s="35" t="str">
        <f>IF(ISERROR(MATCH(ß18,$E18:$E26,0)),"",MATCH(ß18,$E18:$E26,0))</f>
        <v/>
      </c>
      <c r="DE18" s="15">
        <f>SUM(DC18:DD18)+BC18</f>
        <v>22</v>
      </c>
      <c r="DG18" s="8" t="str">
        <f t="shared" ref="DG18:DG26" si="26">IF(F18="","",(IF(F18=H18,0,IF(F18&gt;H18,1,IF(F18&lt;H18,2)))))</f>
        <v/>
      </c>
      <c r="DH18" s="3">
        <f>COUNTIF(I18,DG18)+COUNTIF(K18,DG18)+COUNTIF(M18,DG18)+COUNTIF(O18,DG18)+COUNTIF(Q18,DG18)+COUNTIF(S18,DG18)+COUNTIF(U18,DG18)</f>
        <v>7</v>
      </c>
      <c r="DN18" s="12">
        <f t="shared" ref="DN18:DN26" si="27">F18</f>
        <v>0</v>
      </c>
      <c r="DO18" s="5">
        <f t="shared" ref="DO18:DO26" si="28">H18</f>
        <v>0</v>
      </c>
      <c r="DP18" s="5" t="str">
        <f t="shared" ref="DP18:DP26" si="29">IF($F18="","",IF(DN18&gt;DO18,3,IF(DN18&lt;DO18,0,1)))</f>
        <v/>
      </c>
      <c r="DQ18" s="5" t="str">
        <f t="shared" ref="DQ18:DQ26" si="30">IF($H18="","",IF(DO18&gt;DN18,3,IF(DO18&lt;DN18,0,1)))</f>
        <v/>
      </c>
      <c r="DR18" s="5">
        <f t="shared" ref="DR18:DR26" si="31">IF(ISBLANK(F18),0,1)</f>
        <v>0</v>
      </c>
      <c r="DS18" s="5">
        <f>IF(DZ18&lt;DZ1,1,0)+IF(DZ18&lt;DZ2,1,0)+IF(DZ18&lt;DZ3,1,0)+IF(DZ18&lt;DZ4,1,0)+IF(DZ18&lt;DZ5,1,0)+IF(DZ18&lt;DZ6,1,0)+IF(DZ18&lt;DZ7,1,0)+IF(DZ18&lt;DZ8,1,0)+IF(DZ18&lt;DZ9,1,0)+IF(DZ18&lt;DZ10,1,0)+IF(DZ18&lt;DZ11,1,0)+IF(DZ18&lt;DZ12,1,0)+IF(DZ18&lt;DZ13,1,0)+IF(DZ18&lt;DZ14,1,0)+IF(DZ18&lt;DZ15,1,0)+IF(DZ18&lt;DZ16,1,0)+IF(DZ18&lt;DZ17,1,0)</f>
        <v>0</v>
      </c>
      <c r="DT18" s="5" t="str">
        <f>ß18</f>
        <v>Wolfsburg</v>
      </c>
      <c r="DU18" s="5">
        <f t="shared" si="0"/>
        <v>0</v>
      </c>
      <c r="DV18" s="5">
        <f t="shared" si="1"/>
        <v>0</v>
      </c>
      <c r="DW18" s="5">
        <f t="shared" si="2"/>
        <v>0</v>
      </c>
      <c r="DX18" s="5">
        <f t="shared" si="3"/>
        <v>0</v>
      </c>
      <c r="DY18" s="5">
        <f t="shared" si="4"/>
        <v>0</v>
      </c>
      <c r="DZ18" s="5">
        <f>DV18*1000000+(DW18-DX18)*1000+DW18+0.18</f>
        <v>0.18</v>
      </c>
      <c r="EB18" s="5">
        <v>18</v>
      </c>
      <c r="EC18" s="5" t="str">
        <f>VLOOKUP(17,$DS$1:$DY$18,2,FALSE())</f>
        <v>Bayern</v>
      </c>
      <c r="ED18" s="5">
        <f>VLOOKUP(17,$DS$1:$DY$18,3,FALSE())</f>
        <v>0</v>
      </c>
      <c r="EE18" s="5">
        <f>VLOOKUP(17,$DS$1:$DY$18,5,FALSE())</f>
        <v>0</v>
      </c>
      <c r="EF18" s="5">
        <f>VLOOKUP(17,$DS$1:$DY$18,6,FALSE())</f>
        <v>0</v>
      </c>
      <c r="EG18" s="5">
        <f>VLOOKUP(17,$DS$1:$DY$18,7,FALSE())</f>
        <v>0</v>
      </c>
      <c r="EH18" s="5">
        <f>VLOOKUP(17,$DS$1:$DY$18,4,FALSE())</f>
        <v>0</v>
      </c>
    </row>
    <row r="19" spans="1:170" ht="11.25" customHeight="1" x14ac:dyDescent="0.2">
      <c r="C19" s="2" t="str">
        <f>ß02</f>
        <v>Leipzig</v>
      </c>
      <c r="D19" s="3" t="s">
        <v>11</v>
      </c>
      <c r="E19" s="2" t="str">
        <f>ß17</f>
        <v>Heidenheim</v>
      </c>
      <c r="F19" s="29"/>
      <c r="G19" s="3" t="s">
        <v>12</v>
      </c>
      <c r="H19" s="30"/>
      <c r="I19" s="37"/>
      <c r="J19" s="38" t="str">
        <f t="shared" si="19"/>
        <v/>
      </c>
      <c r="K19" s="37"/>
      <c r="L19" s="38" t="str">
        <f t="shared" si="20"/>
        <v/>
      </c>
      <c r="M19" s="37"/>
      <c r="N19" s="38" t="str">
        <f t="shared" si="21"/>
        <v/>
      </c>
      <c r="O19" s="37"/>
      <c r="P19" s="38" t="str">
        <f t="shared" si="22"/>
        <v/>
      </c>
      <c r="Q19" s="37"/>
      <c r="R19" s="38" t="str">
        <f t="shared" si="23"/>
        <v/>
      </c>
      <c r="S19" s="37"/>
      <c r="T19" s="38" t="str">
        <f t="shared" si="24"/>
        <v/>
      </c>
      <c r="U19" s="37"/>
      <c r="V19" s="38" t="str">
        <f t="shared" si="25"/>
        <v/>
      </c>
      <c r="X19" s="90"/>
      <c r="Y19" s="91"/>
      <c r="Z19" s="92"/>
      <c r="AA19" s="93">
        <f>$EE$18</f>
        <v>0</v>
      </c>
      <c r="AB19" s="94" t="s">
        <v>12</v>
      </c>
      <c r="AC19" s="92">
        <f>$EF$18</f>
        <v>0</v>
      </c>
      <c r="AD19" s="95">
        <f>$EG$18</f>
        <v>0</v>
      </c>
      <c r="AE19" s="95">
        <f>$EH$18</f>
        <v>0</v>
      </c>
      <c r="AF19" s="34"/>
      <c r="AG19" s="34"/>
      <c r="AH19" s="34"/>
      <c r="AI19" s="34"/>
      <c r="AJ19" s="34"/>
      <c r="DG19" s="8" t="str">
        <f t="shared" si="26"/>
        <v/>
      </c>
      <c r="DH19" s="3">
        <f t="shared" ref="DH19:DH26" si="32">COUNTIF(I19,DG19)+COUNTIF(K19,DG19)+COUNTIF(M19,DG19)+COUNTIF(O19,DG19)+COUNTIF(Q19,DG19)+COUNTIF(S19,DG19)+COUNTIF(U19,DG19)</f>
        <v>7</v>
      </c>
      <c r="DN19" s="12">
        <f t="shared" si="27"/>
        <v>0</v>
      </c>
      <c r="DO19" s="5">
        <f t="shared" si="28"/>
        <v>0</v>
      </c>
      <c r="DP19" s="5" t="str">
        <f t="shared" si="29"/>
        <v/>
      </c>
      <c r="DQ19" s="5" t="str">
        <f t="shared" si="30"/>
        <v/>
      </c>
      <c r="DR19" s="5">
        <f t="shared" si="31"/>
        <v>0</v>
      </c>
    </row>
    <row r="20" spans="1:170" ht="11.25" customHeight="1" x14ac:dyDescent="0.2">
      <c r="C20" s="2" t="str">
        <f>ß06</f>
        <v>Werder</v>
      </c>
      <c r="D20" s="3" t="s">
        <v>11</v>
      </c>
      <c r="E20" s="2" t="str">
        <f>ß03</f>
        <v>Leverk.</v>
      </c>
      <c r="F20" s="29"/>
      <c r="G20" s="3" t="s">
        <v>12</v>
      </c>
      <c r="H20" s="30"/>
      <c r="I20" s="37"/>
      <c r="J20" s="38" t="str">
        <f t="shared" si="19"/>
        <v/>
      </c>
      <c r="K20" s="37"/>
      <c r="L20" s="38" t="str">
        <f t="shared" si="20"/>
        <v/>
      </c>
      <c r="M20" s="37"/>
      <c r="N20" s="38" t="str">
        <f t="shared" si="21"/>
        <v/>
      </c>
      <c r="O20" s="37"/>
      <c r="P20" s="38" t="str">
        <f t="shared" si="22"/>
        <v/>
      </c>
      <c r="Q20" s="37"/>
      <c r="R20" s="38" t="str">
        <f t="shared" si="23"/>
        <v/>
      </c>
      <c r="S20" s="37"/>
      <c r="T20" s="38" t="str">
        <f t="shared" si="24"/>
        <v/>
      </c>
      <c r="U20" s="37"/>
      <c r="V20" s="38" t="str">
        <f t="shared" si="25"/>
        <v/>
      </c>
      <c r="AF20" s="34"/>
      <c r="AG20" s="34"/>
      <c r="AH20" s="34"/>
      <c r="AI20" s="34"/>
      <c r="AJ20" s="34"/>
      <c r="DG20" s="8" t="str">
        <f t="shared" si="26"/>
        <v/>
      </c>
      <c r="DH20" s="3">
        <f t="shared" si="32"/>
        <v>7</v>
      </c>
      <c r="DN20" s="12">
        <f t="shared" si="27"/>
        <v>0</v>
      </c>
      <c r="DO20" s="5">
        <f t="shared" si="28"/>
        <v>0</v>
      </c>
      <c r="DP20" s="5" t="str">
        <f t="shared" si="29"/>
        <v/>
      </c>
      <c r="DQ20" s="5" t="str">
        <f t="shared" si="30"/>
        <v/>
      </c>
      <c r="DR20" s="5">
        <f t="shared" si="31"/>
        <v>0</v>
      </c>
    </row>
    <row r="21" spans="1:170" ht="11.25" customHeight="1" x14ac:dyDescent="0.2">
      <c r="C21" s="2" t="str">
        <f>ß14</f>
        <v>Stuttgart</v>
      </c>
      <c r="D21" s="3" t="s">
        <v>11</v>
      </c>
      <c r="E21" s="2" t="str">
        <f>ß11</f>
        <v>M'gladb.</v>
      </c>
      <c r="F21" s="29"/>
      <c r="G21" s="3" t="s">
        <v>12</v>
      </c>
      <c r="H21" s="30"/>
      <c r="I21" s="37"/>
      <c r="J21" s="38" t="str">
        <f t="shared" si="19"/>
        <v/>
      </c>
      <c r="K21" s="37"/>
      <c r="L21" s="38" t="str">
        <f t="shared" si="20"/>
        <v/>
      </c>
      <c r="M21" s="37"/>
      <c r="N21" s="38" t="str">
        <f t="shared" si="21"/>
        <v/>
      </c>
      <c r="O21" s="37"/>
      <c r="P21" s="38" t="str">
        <f t="shared" si="22"/>
        <v/>
      </c>
      <c r="Q21" s="37"/>
      <c r="R21" s="38" t="str">
        <f t="shared" si="23"/>
        <v/>
      </c>
      <c r="S21" s="37"/>
      <c r="T21" s="38" t="str">
        <f t="shared" si="24"/>
        <v/>
      </c>
      <c r="U21" s="37"/>
      <c r="V21" s="38" t="str">
        <f t="shared" si="25"/>
        <v/>
      </c>
      <c r="AF21" s="34"/>
      <c r="AG21" s="34"/>
      <c r="AH21" s="34"/>
      <c r="AI21" s="34"/>
      <c r="AJ21" s="34"/>
      <c r="DG21" s="8" t="str">
        <f t="shared" si="26"/>
        <v/>
      </c>
      <c r="DH21" s="3">
        <f t="shared" si="32"/>
        <v>7</v>
      </c>
      <c r="DN21" s="12">
        <f t="shared" si="27"/>
        <v>0</v>
      </c>
      <c r="DO21" s="5">
        <f t="shared" si="28"/>
        <v>0</v>
      </c>
      <c r="DP21" s="5" t="str">
        <f t="shared" si="29"/>
        <v/>
      </c>
      <c r="DQ21" s="5" t="str">
        <f t="shared" si="30"/>
        <v/>
      </c>
      <c r="DR21" s="5">
        <f t="shared" si="31"/>
        <v>0</v>
      </c>
    </row>
    <row r="22" spans="1:170" ht="11.25" customHeight="1" x14ac:dyDescent="0.2">
      <c r="C22" s="2" t="str">
        <f>ß18</f>
        <v>Wolfsburg</v>
      </c>
      <c r="D22" s="3" t="s">
        <v>11</v>
      </c>
      <c r="E22" s="2" t="str">
        <f>ß09</f>
        <v>Mainz</v>
      </c>
      <c r="F22" s="29"/>
      <c r="G22" s="3" t="s">
        <v>12</v>
      </c>
      <c r="H22" s="30"/>
      <c r="I22" s="37"/>
      <c r="J22" s="38" t="str">
        <f t="shared" si="19"/>
        <v/>
      </c>
      <c r="K22" s="37"/>
      <c r="L22" s="38" t="str">
        <f t="shared" si="20"/>
        <v/>
      </c>
      <c r="M22" s="37"/>
      <c r="N22" s="38" t="str">
        <f t="shared" si="21"/>
        <v/>
      </c>
      <c r="O22" s="37"/>
      <c r="P22" s="38" t="str">
        <f t="shared" si="22"/>
        <v/>
      </c>
      <c r="Q22" s="37"/>
      <c r="R22" s="38" t="str">
        <f t="shared" si="23"/>
        <v/>
      </c>
      <c r="S22" s="37"/>
      <c r="T22" s="38" t="str">
        <f t="shared" si="24"/>
        <v/>
      </c>
      <c r="U22" s="37"/>
      <c r="V22" s="38" t="str">
        <f t="shared" si="25"/>
        <v/>
      </c>
      <c r="AF22" s="34"/>
      <c r="AG22" s="34"/>
      <c r="AH22" s="34"/>
      <c r="AI22" s="34"/>
      <c r="AJ22" s="34"/>
      <c r="DG22" s="8" t="str">
        <f t="shared" si="26"/>
        <v/>
      </c>
      <c r="DH22" s="3">
        <f t="shared" si="32"/>
        <v>7</v>
      </c>
      <c r="DN22" s="12">
        <f t="shared" si="27"/>
        <v>0</v>
      </c>
      <c r="DO22" s="5">
        <f t="shared" si="28"/>
        <v>0</v>
      </c>
      <c r="DP22" s="5" t="str">
        <f t="shared" si="29"/>
        <v/>
      </c>
      <c r="DQ22" s="5" t="str">
        <f t="shared" si="30"/>
        <v/>
      </c>
      <c r="DR22" s="5">
        <f t="shared" si="31"/>
        <v>0</v>
      </c>
    </row>
    <row r="23" spans="1:170" ht="11.25" customHeight="1" x14ac:dyDescent="0.2">
      <c r="C23" s="2" t="str">
        <f>ß08</f>
        <v>Augsburg</v>
      </c>
      <c r="D23" s="3" t="s">
        <v>11</v>
      </c>
      <c r="E23" s="2" t="str">
        <f>ß01</f>
        <v>Bayern</v>
      </c>
      <c r="F23" s="29"/>
      <c r="G23" s="3" t="s">
        <v>12</v>
      </c>
      <c r="H23" s="30"/>
      <c r="I23" s="37"/>
      <c r="J23" s="38" t="str">
        <f t="shared" si="19"/>
        <v/>
      </c>
      <c r="K23" s="37"/>
      <c r="L23" s="38" t="str">
        <f t="shared" si="20"/>
        <v/>
      </c>
      <c r="M23" s="37"/>
      <c r="N23" s="38" t="str">
        <f t="shared" si="21"/>
        <v/>
      </c>
      <c r="O23" s="37"/>
      <c r="P23" s="38" t="str">
        <f t="shared" si="22"/>
        <v/>
      </c>
      <c r="Q23" s="37"/>
      <c r="R23" s="38" t="str">
        <f t="shared" si="23"/>
        <v/>
      </c>
      <c r="S23" s="37"/>
      <c r="T23" s="38" t="str">
        <f t="shared" si="24"/>
        <v/>
      </c>
      <c r="U23" s="37"/>
      <c r="V23" s="38" t="str">
        <f t="shared" si="25"/>
        <v/>
      </c>
      <c r="AF23" s="34"/>
      <c r="AG23" s="34"/>
      <c r="AH23" s="34"/>
      <c r="AI23" s="34"/>
      <c r="AJ23" s="34"/>
      <c r="DG23" s="8" t="str">
        <f t="shared" si="26"/>
        <v/>
      </c>
      <c r="DH23" s="3">
        <f t="shared" si="32"/>
        <v>7</v>
      </c>
      <c r="DN23" s="12">
        <f t="shared" si="27"/>
        <v>0</v>
      </c>
      <c r="DO23" s="5">
        <f t="shared" si="28"/>
        <v>0</v>
      </c>
      <c r="DP23" s="5" t="str">
        <f t="shared" si="29"/>
        <v/>
      </c>
      <c r="DQ23" s="5" t="str">
        <f t="shared" si="30"/>
        <v/>
      </c>
      <c r="DR23" s="5">
        <f t="shared" si="31"/>
        <v>0</v>
      </c>
    </row>
    <row r="24" spans="1:170" ht="11.25" customHeight="1" x14ac:dyDescent="0.2">
      <c r="C24" s="2" t="str">
        <f>ß04</f>
        <v>Hoffenheim</v>
      </c>
      <c r="D24" s="3" t="s">
        <v>11</v>
      </c>
      <c r="E24" s="2" t="str">
        <f>ß05</f>
        <v>Frankfurt</v>
      </c>
      <c r="F24" s="29"/>
      <c r="G24" s="3" t="s">
        <v>12</v>
      </c>
      <c r="H24" s="30"/>
      <c r="I24" s="37"/>
      <c r="J24" s="38" t="str">
        <f t="shared" si="19"/>
        <v/>
      </c>
      <c r="K24" s="37"/>
      <c r="L24" s="38" t="str">
        <f t="shared" si="20"/>
        <v/>
      </c>
      <c r="M24" s="37"/>
      <c r="N24" s="38" t="str">
        <f t="shared" si="21"/>
        <v/>
      </c>
      <c r="O24" s="37"/>
      <c r="P24" s="38" t="str">
        <f t="shared" si="22"/>
        <v/>
      </c>
      <c r="Q24" s="37"/>
      <c r="R24" s="38" t="str">
        <f t="shared" si="23"/>
        <v/>
      </c>
      <c r="S24" s="37"/>
      <c r="T24" s="38" t="str">
        <f t="shared" si="24"/>
        <v/>
      </c>
      <c r="U24" s="37"/>
      <c r="V24" s="38" t="str">
        <f t="shared" si="25"/>
        <v/>
      </c>
      <c r="AF24" s="34"/>
      <c r="AG24" s="34"/>
      <c r="AH24" s="34"/>
      <c r="AI24" s="34"/>
      <c r="AJ24" s="34"/>
      <c r="DG24" s="8" t="str">
        <f t="shared" si="26"/>
        <v/>
      </c>
      <c r="DH24" s="3">
        <f t="shared" si="32"/>
        <v>7</v>
      </c>
      <c r="DN24" s="12">
        <f t="shared" si="27"/>
        <v>0</v>
      </c>
      <c r="DO24" s="5">
        <f t="shared" si="28"/>
        <v>0</v>
      </c>
      <c r="DP24" s="5" t="str">
        <f t="shared" si="29"/>
        <v/>
      </c>
      <c r="DQ24" s="5" t="str">
        <f t="shared" si="30"/>
        <v/>
      </c>
      <c r="DR24" s="5">
        <f t="shared" si="31"/>
        <v>0</v>
      </c>
    </row>
    <row r="25" spans="1:170" ht="11.25" customHeight="1" x14ac:dyDescent="0.2">
      <c r="C25" s="2" t="str">
        <f>ß10</f>
        <v>Köln</v>
      </c>
      <c r="D25" s="3" t="s">
        <v>11</v>
      </c>
      <c r="E25" s="2" t="str">
        <f>ß07</f>
        <v>Freiburg</v>
      </c>
      <c r="F25" s="29"/>
      <c r="G25" s="3" t="s">
        <v>12</v>
      </c>
      <c r="H25" s="30"/>
      <c r="I25" s="37"/>
      <c r="J25" s="38" t="str">
        <f t="shared" si="19"/>
        <v/>
      </c>
      <c r="K25" s="37"/>
      <c r="L25" s="38" t="str">
        <f t="shared" si="20"/>
        <v/>
      </c>
      <c r="M25" s="37"/>
      <c r="N25" s="38" t="str">
        <f t="shared" si="21"/>
        <v/>
      </c>
      <c r="O25" s="37"/>
      <c r="P25" s="38" t="str">
        <f t="shared" si="22"/>
        <v/>
      </c>
      <c r="Q25" s="37"/>
      <c r="R25" s="38" t="str">
        <f t="shared" si="23"/>
        <v/>
      </c>
      <c r="S25" s="37"/>
      <c r="T25" s="38" t="str">
        <f t="shared" si="24"/>
        <v/>
      </c>
      <c r="U25" s="37"/>
      <c r="V25" s="38" t="str">
        <f t="shared" si="25"/>
        <v/>
      </c>
      <c r="AF25" s="34"/>
      <c r="AG25" s="34"/>
      <c r="AH25" s="34"/>
      <c r="AI25" s="34"/>
      <c r="AJ25" s="34"/>
      <c r="DG25" s="8" t="str">
        <f t="shared" si="26"/>
        <v/>
      </c>
      <c r="DH25" s="3">
        <f t="shared" si="32"/>
        <v>7</v>
      </c>
      <c r="DN25" s="12">
        <f t="shared" si="27"/>
        <v>0</v>
      </c>
      <c r="DO25" s="5">
        <f t="shared" si="28"/>
        <v>0</v>
      </c>
      <c r="DP25" s="5" t="str">
        <f t="shared" si="29"/>
        <v/>
      </c>
      <c r="DQ25" s="5" t="str">
        <f t="shared" si="30"/>
        <v/>
      </c>
      <c r="DR25" s="5">
        <f t="shared" si="31"/>
        <v>0</v>
      </c>
    </row>
    <row r="26" spans="1:170" ht="11.25" customHeight="1" thickBot="1" x14ac:dyDescent="0.25">
      <c r="C26" s="2" t="str">
        <f>ß12</f>
        <v>HSV</v>
      </c>
      <c r="D26" s="3" t="s">
        <v>11</v>
      </c>
      <c r="E26" s="2" t="str">
        <f>ß15</f>
        <v>St. Pauli</v>
      </c>
      <c r="F26" s="29"/>
      <c r="G26" s="3" t="s">
        <v>12</v>
      </c>
      <c r="H26" s="30"/>
      <c r="I26" s="40"/>
      <c r="J26" s="38" t="str">
        <f t="shared" si="19"/>
        <v/>
      </c>
      <c r="K26" s="40"/>
      <c r="L26" s="38" t="str">
        <f t="shared" si="20"/>
        <v/>
      </c>
      <c r="M26" s="40"/>
      <c r="N26" s="38" t="str">
        <f t="shared" si="21"/>
        <v/>
      </c>
      <c r="O26" s="40"/>
      <c r="P26" s="38" t="str">
        <f t="shared" si="22"/>
        <v/>
      </c>
      <c r="Q26" s="40"/>
      <c r="R26" s="38" t="str">
        <f t="shared" si="23"/>
        <v/>
      </c>
      <c r="S26" s="40"/>
      <c r="T26" s="38" t="str">
        <f t="shared" si="24"/>
        <v/>
      </c>
      <c r="U26" s="40"/>
      <c r="V26" s="38" t="str">
        <f t="shared" si="25"/>
        <v/>
      </c>
      <c r="AF26" s="34"/>
      <c r="AG26" s="34"/>
      <c r="AH26" s="34"/>
      <c r="AI26" s="34"/>
      <c r="AJ26" s="34"/>
      <c r="DG26" s="8" t="str">
        <f t="shared" si="26"/>
        <v/>
      </c>
      <c r="DH26" s="3">
        <f t="shared" si="32"/>
        <v>7</v>
      </c>
      <c r="DN26" s="12">
        <f t="shared" si="27"/>
        <v>0</v>
      </c>
      <c r="DO26" s="5">
        <f t="shared" si="28"/>
        <v>0</v>
      </c>
      <c r="DP26" s="5" t="str">
        <f t="shared" si="29"/>
        <v/>
      </c>
      <c r="DQ26" s="5" t="str">
        <f t="shared" si="30"/>
        <v/>
      </c>
      <c r="DR26" s="5">
        <f t="shared" si="31"/>
        <v>0</v>
      </c>
    </row>
    <row r="27" spans="1:170" ht="11.25" customHeight="1" thickTop="1" x14ac:dyDescent="0.2">
      <c r="C27" s="41">
        <f>(I27+K27+M27+O27+Q27+S27+U27)</f>
        <v>0</v>
      </c>
      <c r="E27" s="42">
        <f>C27/8</f>
        <v>0</v>
      </c>
      <c r="F27" s="41">
        <f>SUM(F18:F26)</f>
        <v>0</v>
      </c>
      <c r="G27" s="2"/>
      <c r="H27" s="43">
        <f>SUM(H18:H26)</f>
        <v>0</v>
      </c>
      <c r="I27" s="44">
        <f>COUNTIF(J18:J26,"&gt;0")</f>
        <v>0</v>
      </c>
      <c r="J27" s="45">
        <f>I27+J12</f>
        <v>0</v>
      </c>
      <c r="K27" s="44">
        <f>COUNTIF(L18:L26,"&gt;0")</f>
        <v>0</v>
      </c>
      <c r="L27" s="45">
        <f>K27+L12</f>
        <v>0</v>
      </c>
      <c r="M27" s="44">
        <f>COUNTIF(N18:N26,"&gt;0")</f>
        <v>0</v>
      </c>
      <c r="N27" s="45">
        <f>M27+N12</f>
        <v>0</v>
      </c>
      <c r="O27" s="44">
        <f>COUNTIF(P18:P26,"&gt;0")</f>
        <v>0</v>
      </c>
      <c r="P27" s="45">
        <f>O27+P12</f>
        <v>0</v>
      </c>
      <c r="Q27" s="44">
        <f>COUNTIF(R18:R26,"&gt;0")</f>
        <v>0</v>
      </c>
      <c r="R27" s="45">
        <f>Q27+R12</f>
        <v>0</v>
      </c>
      <c r="S27" s="44">
        <f>COUNTIF(T18:T26,"&gt;0")</f>
        <v>0</v>
      </c>
      <c r="T27" s="45">
        <f>S27+T12</f>
        <v>0</v>
      </c>
      <c r="U27" s="44">
        <f>COUNTIF(V18:V26,"&gt;0")</f>
        <v>0</v>
      </c>
      <c r="V27" s="45">
        <f>U27+V12</f>
        <v>0</v>
      </c>
      <c r="AF27" s="34"/>
      <c r="AG27" s="34"/>
      <c r="AH27" s="34"/>
      <c r="AI27" s="34"/>
      <c r="AJ27" s="34"/>
      <c r="DN27" s="12"/>
    </row>
    <row r="28" spans="1:170" ht="11.25" customHeight="1" x14ac:dyDescent="0.2">
      <c r="C28" s="41">
        <f>(I28+K28+M28+O28+Q28+S28+U28)</f>
        <v>0</v>
      </c>
      <c r="E28" s="42">
        <f>C28/8</f>
        <v>0</v>
      </c>
      <c r="F28" s="137">
        <f>F27+H27</f>
        <v>0</v>
      </c>
      <c r="G28" s="137"/>
      <c r="H28" s="137"/>
      <c r="I28" s="46">
        <f>SUM(J18:J26)</f>
        <v>0</v>
      </c>
      <c r="J28" s="47">
        <f>I28+J13</f>
        <v>0</v>
      </c>
      <c r="K28" s="46">
        <f>SUM(L18:L26)</f>
        <v>0</v>
      </c>
      <c r="L28" s="47">
        <f>K28+L13</f>
        <v>0</v>
      </c>
      <c r="M28" s="46">
        <f>SUM(N18:N26)</f>
        <v>0</v>
      </c>
      <c r="N28" s="47">
        <f>M28+N13</f>
        <v>0</v>
      </c>
      <c r="O28" s="46">
        <f>SUM(P18:P26)</f>
        <v>0</v>
      </c>
      <c r="P28" s="47">
        <f>O28+P13</f>
        <v>0</v>
      </c>
      <c r="Q28" s="46">
        <f>SUM(R18:R26)</f>
        <v>0</v>
      </c>
      <c r="R28" s="47">
        <f>Q28+R13</f>
        <v>0</v>
      </c>
      <c r="S28" s="46">
        <f>SUM(T18:T26)</f>
        <v>0</v>
      </c>
      <c r="T28" s="47">
        <f>S28+T13</f>
        <v>0</v>
      </c>
      <c r="U28" s="46">
        <f>SUM(V18:V26)</f>
        <v>0</v>
      </c>
      <c r="V28" s="47">
        <f>U28+V13</f>
        <v>0</v>
      </c>
      <c r="AF28" s="34"/>
      <c r="AG28" s="34"/>
      <c r="AH28" s="34"/>
      <c r="AI28" s="34"/>
      <c r="AJ28" s="34"/>
      <c r="DN28" s="12"/>
    </row>
    <row r="29" spans="1:170" ht="11.25" customHeight="1" thickBot="1" x14ac:dyDescent="0.25">
      <c r="C29" s="41">
        <f>(I29+K29+M29+O29+Q29+S29+U29)</f>
        <v>0</v>
      </c>
      <c r="E29" s="42">
        <f>C29/8</f>
        <v>0</v>
      </c>
      <c r="F29" s="138">
        <f>F28+F14</f>
        <v>0</v>
      </c>
      <c r="G29" s="138"/>
      <c r="H29" s="138"/>
      <c r="I29" s="48">
        <f>I27*I28</f>
        <v>0</v>
      </c>
      <c r="J29" s="49">
        <f>I29+J14</f>
        <v>0</v>
      </c>
      <c r="K29" s="48">
        <f>K27*K28</f>
        <v>0</v>
      </c>
      <c r="L29" s="49">
        <f>K29+L14</f>
        <v>0</v>
      </c>
      <c r="M29" s="48">
        <f>M27*M28</f>
        <v>0</v>
      </c>
      <c r="N29" s="49">
        <f>M29+N14</f>
        <v>0</v>
      </c>
      <c r="O29" s="48">
        <f>O27*O28</f>
        <v>0</v>
      </c>
      <c r="P29" s="49">
        <f>O29+P14</f>
        <v>0</v>
      </c>
      <c r="Q29" s="48">
        <f>Q27*Q28</f>
        <v>0</v>
      </c>
      <c r="R29" s="49">
        <f>Q29+R14</f>
        <v>0</v>
      </c>
      <c r="S29" s="48">
        <f>S27*S28</f>
        <v>0</v>
      </c>
      <c r="T29" s="49">
        <f>S29+T14</f>
        <v>0</v>
      </c>
      <c r="U29" s="48">
        <f>U27*U28</f>
        <v>0</v>
      </c>
      <c r="V29" s="49">
        <f>U29+V14</f>
        <v>0</v>
      </c>
      <c r="AF29" s="34"/>
      <c r="AG29" s="34"/>
      <c r="AH29" s="34"/>
      <c r="AI29" s="34"/>
      <c r="AJ29" s="34"/>
      <c r="AL29" s="5">
        <f>MAX(I29,K29,M29,O29,Q29,S29,U29)</f>
        <v>0</v>
      </c>
      <c r="AM29" s="5">
        <f>MIN(I29,K29,M29,O29,Q29,S29,U29)</f>
        <v>0</v>
      </c>
      <c r="AN29" s="5"/>
      <c r="AO29" s="5"/>
      <c r="AP29" s="5"/>
      <c r="AQ29" s="5"/>
      <c r="AR29" s="5"/>
      <c r="AS29" s="13"/>
      <c r="AT29" s="5"/>
      <c r="AU29" s="5"/>
      <c r="AV29" s="5"/>
      <c r="AW29" s="5"/>
      <c r="AX29" s="5"/>
      <c r="AY29" s="5"/>
      <c r="AZ29" s="5"/>
      <c r="BA29" s="5"/>
      <c r="BB29" s="5"/>
      <c r="BD29" s="5"/>
      <c r="BE29" s="5"/>
      <c r="BF29" s="14"/>
      <c r="BG29" s="13"/>
      <c r="BH29" s="5"/>
      <c r="BI29" s="14"/>
      <c r="BJ29" s="13"/>
      <c r="BK29" s="5"/>
      <c r="BL29" s="14"/>
      <c r="BM29" s="13"/>
      <c r="BN29" s="5"/>
      <c r="BO29" s="14"/>
      <c r="BP29" s="13"/>
      <c r="BQ29" s="5"/>
      <c r="BR29" s="14"/>
      <c r="BS29" s="13"/>
      <c r="BT29" s="5"/>
      <c r="BU29" s="14"/>
      <c r="BV29" s="13"/>
      <c r="BW29" s="5"/>
      <c r="BX29" s="14"/>
      <c r="BY29" s="13"/>
      <c r="BZ29" s="5"/>
      <c r="CA29" s="14"/>
      <c r="CB29" s="13"/>
      <c r="CC29" s="5"/>
      <c r="CD29" s="14"/>
      <c r="CE29" s="13"/>
      <c r="CF29" s="5"/>
      <c r="CG29" s="14"/>
      <c r="CH29" s="13"/>
      <c r="CI29" s="5"/>
      <c r="CJ29" s="14"/>
      <c r="CK29" s="13"/>
      <c r="CL29" s="5"/>
      <c r="CM29" s="14"/>
      <c r="CN29" s="13"/>
      <c r="CO29" s="5"/>
      <c r="CP29" s="14"/>
      <c r="CQ29" s="13"/>
      <c r="CR29" s="5"/>
      <c r="CS29" s="14"/>
      <c r="CT29" s="13"/>
      <c r="CU29" s="5"/>
      <c r="CV29" s="14"/>
      <c r="CW29" s="13"/>
      <c r="CX29" s="5"/>
      <c r="CY29" s="14"/>
      <c r="CZ29" s="13"/>
      <c r="DA29" s="5"/>
      <c r="DB29" s="14"/>
      <c r="DC29" s="13"/>
      <c r="DD29" s="5"/>
      <c r="DE29" s="14"/>
      <c r="DN29" s="12"/>
    </row>
    <row r="30" spans="1:170" ht="11.25" customHeight="1" thickTop="1" x14ac:dyDescent="0.2">
      <c r="I30" s="50"/>
      <c r="J30" s="50">
        <f>L29-J29</f>
        <v>0</v>
      </c>
      <c r="K30" s="50"/>
      <c r="L30" s="50"/>
      <c r="M30" s="50"/>
      <c r="N30" s="50">
        <f>L29-N29</f>
        <v>0</v>
      </c>
      <c r="O30" s="50"/>
      <c r="P30" s="50">
        <f>L29-P29</f>
        <v>0</v>
      </c>
      <c r="Q30" s="50"/>
      <c r="R30" s="50">
        <f>L29-R29</f>
        <v>0</v>
      </c>
      <c r="S30" s="50"/>
      <c r="T30" s="50">
        <f>L29-T29</f>
        <v>0</v>
      </c>
      <c r="U30" s="50"/>
      <c r="V30" s="50">
        <f>L29-V29</f>
        <v>0</v>
      </c>
    </row>
    <row r="31" spans="1:170" ht="11.25" customHeight="1" x14ac:dyDescent="0.2">
      <c r="I31" s="139" t="str">
        <f>ß101</f>
        <v>Kropp</v>
      </c>
      <c r="J31" s="139"/>
      <c r="K31" s="139" t="str">
        <f>ß102</f>
        <v>Nörnberg</v>
      </c>
      <c r="L31" s="139"/>
      <c r="M31" s="139" t="str">
        <f>ß103</f>
        <v>Bübel</v>
      </c>
      <c r="N31" s="139"/>
      <c r="O31" s="139" t="str">
        <f>ß104</f>
        <v>Schwicht.</v>
      </c>
      <c r="P31" s="139"/>
      <c r="Q31" s="139" t="str">
        <f>ß105</f>
        <v>Rontzko.</v>
      </c>
      <c r="R31" s="139"/>
      <c r="S31" s="139" t="str">
        <f>ß106</f>
        <v>Hauschildt</v>
      </c>
      <c r="T31" s="139"/>
      <c r="U31" s="139" t="str">
        <f>ß107</f>
        <v>Zerres</v>
      </c>
      <c r="V31" s="139"/>
      <c r="AF31" s="11"/>
      <c r="AG31" s="11"/>
      <c r="AH31" s="11"/>
      <c r="AI31" s="11"/>
      <c r="AJ31" s="11"/>
      <c r="AL31" s="5" t="str">
        <f>IF($I44=$AL44,I31,"x")</f>
        <v>Kropp</v>
      </c>
      <c r="AM31" s="5" t="str">
        <f>IF($K44=$AL44,K31,"x")</f>
        <v>Nörnberg</v>
      </c>
      <c r="AN31" s="5" t="str">
        <f>IF($M44=$AL44,M31,"x")</f>
        <v>Bübel</v>
      </c>
      <c r="AO31" s="5" t="str">
        <f>IF($O44=$AL44,O31,"x")</f>
        <v>Schwicht.</v>
      </c>
      <c r="AP31" s="5" t="str">
        <f>IF($Q44=$AL44,Q31,"x")</f>
        <v>Rontzko.</v>
      </c>
      <c r="AQ31" s="5" t="str">
        <f>IF($S44=$AL44,S31,"x")</f>
        <v>Hauschildt</v>
      </c>
      <c r="AR31" s="5" t="str">
        <f>IF($U44=$AL44,U31,"x")</f>
        <v>Zerres</v>
      </c>
      <c r="AS31" s="13" t="str">
        <f>IF($I44=$AM44,I31,"x")</f>
        <v>Kropp</v>
      </c>
      <c r="AT31" s="5" t="str">
        <f>IF($K44=$AM44,K31,"x")</f>
        <v>Nörnberg</v>
      </c>
      <c r="AU31" s="5" t="str">
        <f>IF($M44=$AM44,M31,"x")</f>
        <v>Bübel</v>
      </c>
      <c r="AV31" s="5" t="str">
        <f>IF($O44=$AM44,O31,"x")</f>
        <v>Schwicht.</v>
      </c>
      <c r="AW31" s="5" t="str">
        <f>IF($Q44=$AM44,Q31,"x")</f>
        <v>Rontzko.</v>
      </c>
      <c r="AX31" s="5" t="str">
        <f>IF($S44=$AM44,S31,"x")</f>
        <v>Hauschildt</v>
      </c>
      <c r="AY31" s="5" t="str">
        <f>IF($U44=$AM44,U31,"x")</f>
        <v>Zerres</v>
      </c>
      <c r="BD31" s="140" t="str">
        <f>ß01</f>
        <v>Bayern</v>
      </c>
      <c r="BE31" s="140"/>
      <c r="BF31" s="140"/>
      <c r="BG31" s="141" t="str">
        <f>ß02</f>
        <v>Leipzig</v>
      </c>
      <c r="BH31" s="141"/>
      <c r="BI31" s="141"/>
      <c r="BJ31" s="141" t="str">
        <f>ß03</f>
        <v>Leverk.</v>
      </c>
      <c r="BK31" s="141"/>
      <c r="BL31" s="141"/>
      <c r="BM31" s="141" t="str">
        <f>ß04</f>
        <v>Hoffenheim</v>
      </c>
      <c r="BN31" s="141"/>
      <c r="BO31" s="141"/>
      <c r="BP31" s="141" t="str">
        <f>ß05</f>
        <v>Frankfurt</v>
      </c>
      <c r="BQ31" s="141"/>
      <c r="BR31" s="141"/>
      <c r="BS31" s="141" t="str">
        <f>ß06</f>
        <v>Werder</v>
      </c>
      <c r="BT31" s="141"/>
      <c r="BU31" s="141"/>
      <c r="BV31" s="141" t="str">
        <f>ß07</f>
        <v>Freiburg</v>
      </c>
      <c r="BW31" s="141"/>
      <c r="BX31" s="141"/>
      <c r="BY31" s="141" t="str">
        <f>ß08</f>
        <v>Augsburg</v>
      </c>
      <c r="BZ31" s="141"/>
      <c r="CA31" s="141"/>
      <c r="CB31" s="141" t="str">
        <f>ß09</f>
        <v>Mainz</v>
      </c>
      <c r="CC31" s="141"/>
      <c r="CD31" s="141"/>
      <c r="CE31" s="141" t="str">
        <f>ß10</f>
        <v>Köln</v>
      </c>
      <c r="CF31" s="141"/>
      <c r="CG31" s="141"/>
      <c r="CH31" s="141" t="str">
        <f>ß11</f>
        <v>M'gladb.</v>
      </c>
      <c r="CI31" s="141"/>
      <c r="CJ31" s="141"/>
      <c r="CK31" s="141" t="str">
        <f>ß12</f>
        <v>HSV</v>
      </c>
      <c r="CL31" s="141"/>
      <c r="CM31" s="141"/>
      <c r="CN31" s="141" t="str">
        <f>ß13</f>
        <v>Union</v>
      </c>
      <c r="CO31" s="141"/>
      <c r="CP31" s="141"/>
      <c r="CQ31" s="141" t="str">
        <f>ß14</f>
        <v>Stuttgart</v>
      </c>
      <c r="CR31" s="141"/>
      <c r="CS31" s="141"/>
      <c r="CT31" s="141" t="str">
        <f>ß15</f>
        <v>St. Pauli</v>
      </c>
      <c r="CU31" s="141"/>
      <c r="CV31" s="141"/>
      <c r="CW31" s="141" t="str">
        <f>ß16</f>
        <v>Dortmund</v>
      </c>
      <c r="CX31" s="141"/>
      <c r="CY31" s="141"/>
      <c r="CZ31" s="141" t="str">
        <f>ß17</f>
        <v>Heidenheim</v>
      </c>
      <c r="DA31" s="141"/>
      <c r="DB31" s="141"/>
      <c r="DC31" s="141" t="str">
        <f>ß18</f>
        <v>Wolfsburg</v>
      </c>
      <c r="DD31" s="141"/>
      <c r="DE31" s="141"/>
    </row>
    <row r="32" spans="1:170" s="21" customFormat="1" ht="11.25" customHeight="1" x14ac:dyDescent="0.2">
      <c r="A32" s="1"/>
      <c r="B32" s="1"/>
      <c r="C32" s="16" t="str">
        <f>Mannschaften!F3</f>
        <v>3. Spieltag</v>
      </c>
      <c r="D32" s="11"/>
      <c r="E32" s="17" t="str">
        <f>Mannschaften!G3</f>
        <v>12.-14.9.25</v>
      </c>
      <c r="F32" s="18"/>
      <c r="G32" s="11"/>
      <c r="H32" s="16"/>
      <c r="I32" s="19">
        <f>RANK(Rang!A3,Rang!A3:G3)</f>
        <v>1</v>
      </c>
      <c r="J32" s="20">
        <f>RANK(Rang!H3,Rang!H3:N3)</f>
        <v>1</v>
      </c>
      <c r="K32" s="19">
        <f>RANK(Rang!B3,Rang!A3:G3)</f>
        <v>1</v>
      </c>
      <c r="L32" s="20">
        <f>RANK(Rang!I3,Rang!H3:N3)</f>
        <v>1</v>
      </c>
      <c r="M32" s="19">
        <f>RANK(Rang!C3,Rang!A3:G3)</f>
        <v>1</v>
      </c>
      <c r="N32" s="20">
        <f>RANK(Rang!J3,Rang!H3:N3)</f>
        <v>1</v>
      </c>
      <c r="O32" s="19">
        <f>RANK(Rang!D3,Rang!A3:G3)</f>
        <v>1</v>
      </c>
      <c r="P32" s="20">
        <f>RANK(Rang!K3,Rang!H3:N3)</f>
        <v>1</v>
      </c>
      <c r="Q32" s="19">
        <f>RANK(Rang!E3,Rang!A3:G3)</f>
        <v>1</v>
      </c>
      <c r="R32" s="20">
        <f>RANK(Rang!L3,Rang!H3:N3)</f>
        <v>1</v>
      </c>
      <c r="S32" s="19">
        <f>RANK(Rang!F3,Rang!A3:G3)</f>
        <v>1</v>
      </c>
      <c r="T32" s="20">
        <f>RANK(Rang!M3,Rang!H3:N3)</f>
        <v>1</v>
      </c>
      <c r="U32" s="19">
        <f>RANK(Rang!G3,Rang!A3:G3)</f>
        <v>1</v>
      </c>
      <c r="V32" s="20">
        <f>RANK(Rang!N3,Rang!H3:N3)</f>
        <v>1</v>
      </c>
      <c r="AF32" s="22"/>
      <c r="AG32" s="22"/>
      <c r="AH32" s="22"/>
      <c r="AI32" s="22"/>
      <c r="AJ32" s="22"/>
      <c r="AS32" s="24"/>
      <c r="BC32" s="23"/>
      <c r="BD32" s="25" t="s">
        <v>4</v>
      </c>
      <c r="BE32" s="25" t="s">
        <v>5</v>
      </c>
      <c r="BF32" s="26" t="s">
        <v>6</v>
      </c>
      <c r="BG32" s="27" t="s">
        <v>4</v>
      </c>
      <c r="BH32" s="25" t="s">
        <v>5</v>
      </c>
      <c r="BI32" s="26" t="s">
        <v>6</v>
      </c>
      <c r="BJ32" s="27" t="s">
        <v>4</v>
      </c>
      <c r="BK32" s="25" t="s">
        <v>5</v>
      </c>
      <c r="BL32" s="26" t="s">
        <v>6</v>
      </c>
      <c r="BM32" s="27" t="s">
        <v>4</v>
      </c>
      <c r="BN32" s="25" t="s">
        <v>5</v>
      </c>
      <c r="BO32" s="26" t="s">
        <v>6</v>
      </c>
      <c r="BP32" s="27" t="s">
        <v>4</v>
      </c>
      <c r="BQ32" s="25" t="s">
        <v>5</v>
      </c>
      <c r="BR32" s="26" t="s">
        <v>6</v>
      </c>
      <c r="BS32" s="27" t="s">
        <v>4</v>
      </c>
      <c r="BT32" s="25" t="s">
        <v>5</v>
      </c>
      <c r="BU32" s="26" t="s">
        <v>6</v>
      </c>
      <c r="BV32" s="27" t="s">
        <v>4</v>
      </c>
      <c r="BW32" s="25" t="s">
        <v>5</v>
      </c>
      <c r="BX32" s="26" t="s">
        <v>6</v>
      </c>
      <c r="BY32" s="27" t="s">
        <v>4</v>
      </c>
      <c r="BZ32" s="25" t="s">
        <v>5</v>
      </c>
      <c r="CA32" s="26" t="s">
        <v>6</v>
      </c>
      <c r="CB32" s="27" t="s">
        <v>4</v>
      </c>
      <c r="CC32" s="25" t="s">
        <v>5</v>
      </c>
      <c r="CD32" s="26" t="s">
        <v>6</v>
      </c>
      <c r="CE32" s="27" t="s">
        <v>4</v>
      </c>
      <c r="CF32" s="25" t="s">
        <v>5</v>
      </c>
      <c r="CG32" s="26" t="s">
        <v>6</v>
      </c>
      <c r="CH32" s="27" t="s">
        <v>4</v>
      </c>
      <c r="CI32" s="25" t="s">
        <v>5</v>
      </c>
      <c r="CJ32" s="26" t="s">
        <v>6</v>
      </c>
      <c r="CK32" s="27" t="s">
        <v>4</v>
      </c>
      <c r="CL32" s="25" t="s">
        <v>5</v>
      </c>
      <c r="CM32" s="26" t="s">
        <v>6</v>
      </c>
      <c r="CN32" s="27" t="s">
        <v>4</v>
      </c>
      <c r="CO32" s="25" t="s">
        <v>5</v>
      </c>
      <c r="CP32" s="26" t="s">
        <v>6</v>
      </c>
      <c r="CQ32" s="27" t="s">
        <v>4</v>
      </c>
      <c r="CR32" s="25" t="s">
        <v>5</v>
      </c>
      <c r="CS32" s="26" t="s">
        <v>6</v>
      </c>
      <c r="CT32" s="27" t="s">
        <v>4</v>
      </c>
      <c r="CU32" s="25" t="s">
        <v>5</v>
      </c>
      <c r="CV32" s="26" t="s">
        <v>6</v>
      </c>
      <c r="CW32" s="27" t="s">
        <v>4</v>
      </c>
      <c r="CX32" s="25" t="s">
        <v>5</v>
      </c>
      <c r="CY32" s="26" t="s">
        <v>6</v>
      </c>
      <c r="CZ32" s="27" t="s">
        <v>4</v>
      </c>
      <c r="DA32" s="25" t="s">
        <v>5</v>
      </c>
      <c r="DB32" s="26" t="s">
        <v>6</v>
      </c>
      <c r="DC32" s="27" t="s">
        <v>4</v>
      </c>
      <c r="DD32" s="25" t="s">
        <v>5</v>
      </c>
      <c r="DE32" s="26" t="s">
        <v>6</v>
      </c>
      <c r="DI32" s="52"/>
      <c r="DN32" s="136" t="s">
        <v>7</v>
      </c>
      <c r="DO32" s="136"/>
      <c r="DP32" s="136" t="s">
        <v>8</v>
      </c>
      <c r="DQ32" s="136"/>
      <c r="DR32" s="28"/>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row>
    <row r="33" spans="1:170" ht="11.25" customHeight="1" x14ac:dyDescent="0.2">
      <c r="C33" s="2" t="str">
        <f>ß01</f>
        <v>Bayern</v>
      </c>
      <c r="D33" s="3" t="s">
        <v>11</v>
      </c>
      <c r="E33" s="2" t="str">
        <f>ß12</f>
        <v>HSV</v>
      </c>
      <c r="F33" s="29"/>
      <c r="G33" s="3" t="s">
        <v>12</v>
      </c>
      <c r="H33" s="30"/>
      <c r="I33" s="31"/>
      <c r="J33" s="32" t="str">
        <f t="shared" ref="J33:J41" si="33">IF($F33="","",(IF(I33="","",IF(I33=$DG33,(VLOOKUP($DH33,$DJ$3:$DK$11,2,FALSE())),0))))</f>
        <v/>
      </c>
      <c r="K33" s="31"/>
      <c r="L33" s="32" t="str">
        <f t="shared" ref="L33:L41" si="34">IF($F33="","",(IF(K33="","",IF(K33=$DG33,(VLOOKUP($DH33,$DJ$3:$DK$11,2,FALSE())),0))))</f>
        <v/>
      </c>
      <c r="M33" s="31"/>
      <c r="N33" s="32" t="str">
        <f t="shared" ref="N33:N41" si="35">IF($F33="","",(IF(M33="","",IF(M33=$DG33,(VLOOKUP($DH33,$DJ$3:$DK$11,2,FALSE())),0))))</f>
        <v/>
      </c>
      <c r="O33" s="31"/>
      <c r="P33" s="32" t="str">
        <f t="shared" ref="P33:P41" si="36">IF($F33="","",(IF(O33="","",IF(O33=$DG33,(VLOOKUP($DH33,$DJ$3:$DK$11,2,FALSE())),0))))</f>
        <v/>
      </c>
      <c r="Q33" s="31"/>
      <c r="R33" s="32" t="str">
        <f t="shared" ref="R33:R41" si="37">IF($F33="","",(IF(Q33="","",IF(Q33=$DG33,(VLOOKUP($DH33,$DJ$3:$DK$11,2,FALSE())),0))))</f>
        <v/>
      </c>
      <c r="S33" s="31"/>
      <c r="T33" s="32" t="str">
        <f t="shared" ref="T33:T41" si="38">IF($F33="","",(IF(S33="","",IF(S33=$DG33,(VLOOKUP($DH33,$DJ$3:$DK$11,2,FALSE())),0))))</f>
        <v/>
      </c>
      <c r="U33" s="31"/>
      <c r="V33" s="32" t="str">
        <f t="shared" ref="V33:V41" si="39">IF($F33="","",(IF(U33="","",IF(U33=$DG33,(VLOOKUP($DH33,$DJ$3:$DK$11,2,FALSE())),0))))</f>
        <v/>
      </c>
      <c r="AF33" s="34"/>
      <c r="AG33" s="34"/>
      <c r="AH33" s="34"/>
      <c r="AI33" s="34"/>
      <c r="AJ33" s="34"/>
      <c r="AN33" s="5"/>
      <c r="AO33" s="5"/>
      <c r="AP33" s="5"/>
      <c r="AQ33" s="5"/>
      <c r="AR33" s="5"/>
      <c r="AS33" s="13"/>
      <c r="AT33" s="5"/>
      <c r="AU33" s="5"/>
      <c r="AV33" s="5"/>
      <c r="AW33" s="5"/>
      <c r="AX33" s="5"/>
      <c r="AY33" s="5"/>
      <c r="BC33" s="6">
        <v>32</v>
      </c>
      <c r="BD33" s="35">
        <f>IF(ISERROR(MATCH(ß01,$C33:$C41,0)),"",MATCH(ß01,$C33:$C41,0))</f>
        <v>1</v>
      </c>
      <c r="BE33" s="35" t="str">
        <f>IF(ISERROR(MATCH(ß01,$E33:$E41,0)),"",MATCH(ß01,$E33:$E41,0))</f>
        <v/>
      </c>
      <c r="BF33" s="15">
        <f>SUM(BD33:BE33)+BC33</f>
        <v>33</v>
      </c>
      <c r="BG33" s="36" t="str">
        <f>IF(ISERROR(MATCH(ß02,$C33:$C41,0)),"",MATCH(ß02,$C33:$C41,0))</f>
        <v/>
      </c>
      <c r="BH33" s="35">
        <f>IF(ISERROR(MATCH(ß02,$E33:$E41,0)),"",MATCH(ß02,$E33:$E41,0))</f>
        <v>4</v>
      </c>
      <c r="BI33" s="15">
        <f>SUM(BG33:BH33)+BC33</f>
        <v>36</v>
      </c>
      <c r="BJ33" s="36">
        <f>IF(ISERROR(MATCH(ß03,$C33:$C41,0)),"",MATCH(ß03,$C33:$C41,0))</f>
        <v>2</v>
      </c>
      <c r="BK33" s="35" t="str">
        <f>IF(ISERROR(MATCH(ß03,$E33:$E41,0)),"",MATCH(ß03,$E33:$E41,0))</f>
        <v/>
      </c>
      <c r="BL33" s="15">
        <f>SUM(BJ33:BK33)+BC33</f>
        <v>34</v>
      </c>
      <c r="BM33" s="36" t="str">
        <f>IF(ISERROR(MATCH(ß04,$C33:$C41,0)),"",MATCH(ß04,$C33:$C41,0))</f>
        <v/>
      </c>
      <c r="BN33" s="35">
        <f>IF(ISERROR(MATCH(ß04,$E33:$E41,0)),"",MATCH(ß04,$E33:$E41,0))</f>
        <v>7</v>
      </c>
      <c r="BO33" s="15">
        <f>SUM(BM33:BN33)+BC33</f>
        <v>39</v>
      </c>
      <c r="BP33" s="36" t="str">
        <f>IF(ISERROR(MATCH(ß05,$C33:$C41,0)),"",MATCH(ß05,$C33:$C41,0))</f>
        <v/>
      </c>
      <c r="BQ33" s="35">
        <f>IF(ISERROR(MATCH(ß05,$E33:$E41,0)),"",MATCH(ß05,$E33:$E41,0))</f>
        <v>2</v>
      </c>
      <c r="BR33" s="15">
        <f>SUM(BP33:BQ33)+BC33</f>
        <v>34</v>
      </c>
      <c r="BS33" s="36" t="str">
        <f>IF(ISERROR(MATCH(ß06,$C33:$C41,0)),"",MATCH(ß06,$C33:$C41,0))</f>
        <v/>
      </c>
      <c r="BT33" s="35">
        <f>IF(ISERROR(MATCH(ß06,$E33:$E41,0)),"",MATCH(ß06,$E33:$E41,0))</f>
        <v>5</v>
      </c>
      <c r="BU33" s="15">
        <f>SUM(BS33:BT33)+BC33</f>
        <v>37</v>
      </c>
      <c r="BV33" s="36">
        <f>IF(ISERROR(MATCH(ß07,$C33:$C41,0)),"",MATCH(ß07,$C33:$C41,0))</f>
        <v>3</v>
      </c>
      <c r="BW33" s="35" t="str">
        <f>IF(ISERROR(MATCH(ß07,$E33:$E41,0)),"",MATCH(ß07,$E33:$E41,0))</f>
        <v/>
      </c>
      <c r="BX33" s="15">
        <f>SUM(BV33:BW33)+BC33</f>
        <v>35</v>
      </c>
      <c r="BY33" s="36" t="str">
        <f>IF(ISERROR(MATCH(ß08,$C33:$C41,0)),"",MATCH(ß08,$C33:$C41,0))</f>
        <v/>
      </c>
      <c r="BZ33" s="35">
        <f>IF(ISERROR(MATCH(ß08,$E33:$E41,0)),"",MATCH(ß08,$E33:$E41,0))</f>
        <v>8</v>
      </c>
      <c r="CA33" s="15">
        <f>SUM(BY33:BZ33)+BC33</f>
        <v>40</v>
      </c>
      <c r="CB33" s="36">
        <f>IF(ISERROR(MATCH(ß09,$C33:$C41,0)),"",MATCH(ß09,$C33:$C41,0))</f>
        <v>4</v>
      </c>
      <c r="CC33" s="35" t="str">
        <f>IF(ISERROR(MATCH(ß09,$E33:$E41,0)),"",MATCH(ß09,$E33:$E41,0))</f>
        <v/>
      </c>
      <c r="CD33" s="15">
        <f>SUM(CB33:CC33)+BC33</f>
        <v>36</v>
      </c>
      <c r="CE33" s="36" t="str">
        <f>IF(ISERROR(MATCH(ß10,$C33:$C41,0)),"",MATCH(ß10,$C33:$C41,0))</f>
        <v/>
      </c>
      <c r="CF33" s="35">
        <f>IF(ISERROR(MATCH(ß10,$E33:$E41,0)),"",MATCH(ß10,$E33:$E41,0))</f>
        <v>6</v>
      </c>
      <c r="CG33" s="15">
        <f>SUM(CE33:CF33)+BC33</f>
        <v>38</v>
      </c>
      <c r="CH33" s="36">
        <f>IF(ISERROR(MATCH(ß11,$C33:$C41,0)),"",MATCH(ß11,$C33:$C41,0))</f>
        <v>5</v>
      </c>
      <c r="CI33" s="35" t="str">
        <f>IF(ISERROR(MATCH(ß11,$E33:$E41,0)),"",MATCH(ß11,$E33:$E41,0))</f>
        <v/>
      </c>
      <c r="CJ33" s="15">
        <f>SUM(CH33:CI33)+BC33</f>
        <v>37</v>
      </c>
      <c r="CK33" s="36" t="str">
        <f>IF(ISERROR(MATCH(ß12,$C33:$C41,0)),"",MATCH(ß12,$C33:$C41,0))</f>
        <v/>
      </c>
      <c r="CL33" s="35">
        <f>IF(ISERROR(MATCH(ß12,$E33:$E41,0)),"",MATCH(ß12,$E33:$E41,0))</f>
        <v>1</v>
      </c>
      <c r="CM33" s="15">
        <f>SUM(CK33:CL33)+BC33</f>
        <v>33</v>
      </c>
      <c r="CN33" s="36">
        <f>IF(ISERROR(MATCH(ß13,$C33:$C41,0)),"",MATCH(ß13,$C33:$C41,0))</f>
        <v>7</v>
      </c>
      <c r="CO33" s="35" t="str">
        <f>IF(ISERROR(MATCH(ß13,$E33:$E41,0)),"",MATCH(ß13,$E33:$E41,0))</f>
        <v/>
      </c>
      <c r="CP33" s="15">
        <f>SUM(CN33:CO33)+BC33</f>
        <v>39</v>
      </c>
      <c r="CQ33" s="36" t="str">
        <f>IF(ISERROR(MATCH(ß14,$C33:$C41,0)),"",MATCH(ß14,$C33:$C41,0))</f>
        <v/>
      </c>
      <c r="CR33" s="35">
        <f>IF(ISERROR(MATCH(ß14,$E33:$E41,0)),"",MATCH(ß14,$E33:$E41,0))</f>
        <v>3</v>
      </c>
      <c r="CS33" s="15">
        <f>SUM(CQ33:CR33)+BC33</f>
        <v>35</v>
      </c>
      <c r="CT33" s="36">
        <f>IF(ISERROR(MATCH(ß15,$C33:$C41,0)),"",MATCH(ß15,$C33:$C41,0))</f>
        <v>8</v>
      </c>
      <c r="CU33" s="35" t="str">
        <f>IF(ISERROR(MATCH(ß15,$E33:$E41,0)),"",MATCH(ß15,$E33:$E41,0))</f>
        <v/>
      </c>
      <c r="CV33" s="15">
        <f>SUM(CT33:CU33)+BC33</f>
        <v>40</v>
      </c>
      <c r="CW33" s="36" t="str">
        <f>IF(ISERROR(MATCH(ß16,$C33:$C41,0)),"",MATCH(ß16,$C33:$C41,0))</f>
        <v/>
      </c>
      <c r="CX33" s="35">
        <f>IF(ISERROR(MATCH(ß16,$E33:$E41,0)),"",MATCH(ß16,$E33:$E41,0))</f>
        <v>9</v>
      </c>
      <c r="CY33" s="15">
        <f>SUM(CW33:CX33)+BC33</f>
        <v>41</v>
      </c>
      <c r="CZ33" s="36">
        <f>IF(ISERROR(MATCH(ß17,$C33:$C41,0)),"",MATCH(ß17,$C33:$C41,0))</f>
        <v>9</v>
      </c>
      <c r="DA33" s="35" t="str">
        <f>IF(ISERROR(MATCH(ß17,$E33:$E41,0)),"",MATCH(ß17,$E33:$E41,0))</f>
        <v/>
      </c>
      <c r="DB33" s="15">
        <f>SUM(CZ33:DA33)+BC33</f>
        <v>41</v>
      </c>
      <c r="DC33" s="36">
        <f>IF(ISERROR(MATCH(ß18,$C33:$C41,0)),"",MATCH(ß18,$C33:$C41,0))</f>
        <v>6</v>
      </c>
      <c r="DD33" s="35" t="str">
        <f>IF(ISERROR(MATCH(ß18,$E33:$E41,0)),"",MATCH(ß18,$E33:$E41,0))</f>
        <v/>
      </c>
      <c r="DE33" s="15">
        <f>SUM(DC33:DD33)+BC33</f>
        <v>38</v>
      </c>
      <c r="DG33" s="8" t="str">
        <f t="shared" ref="DG33:DG41" si="40">IF(F33="","",(IF(F33=H33,0,IF(F33&gt;H33,1,IF(F33&lt;H33,2)))))</f>
        <v/>
      </c>
      <c r="DH33" s="3">
        <f>COUNTIF(I33,DG33)+COUNTIF(K33,DG33)+COUNTIF(M33,DG33)+COUNTIF(O33,DG33)+COUNTIF(Q33,DG33)+COUNTIF(S33,DG33)+COUNTIF(U33,DG33)</f>
        <v>7</v>
      </c>
      <c r="DN33" s="12">
        <f t="shared" ref="DN33:DN41" si="41">F33</f>
        <v>0</v>
      </c>
      <c r="DO33" s="5">
        <f t="shared" ref="DO33:DO41" si="42">H33</f>
        <v>0</v>
      </c>
      <c r="DP33" s="5" t="str">
        <f t="shared" ref="DP33:DP41" si="43">IF($F33="","",IF(DN33&gt;DO33,3,IF(DN33&lt;DO33,0,1)))</f>
        <v/>
      </c>
      <c r="DQ33" s="5" t="str">
        <f t="shared" ref="DQ33:DQ41" si="44">IF($H33="","",IF(DO33&gt;DN33,3,IF(DO33&lt;DN33,0,1)))</f>
        <v/>
      </c>
      <c r="DR33" s="5">
        <f t="shared" ref="DR33:DR41" si="45">IF(ISBLANK(F33),0,1)</f>
        <v>0</v>
      </c>
    </row>
    <row r="34" spans="1:170" ht="11.25" customHeight="1" x14ac:dyDescent="0.2">
      <c r="C34" s="2" t="str">
        <f>ß03</f>
        <v>Leverk.</v>
      </c>
      <c r="D34" s="3" t="s">
        <v>11</v>
      </c>
      <c r="E34" s="2" t="str">
        <f>ß05</f>
        <v>Frankfurt</v>
      </c>
      <c r="F34" s="29"/>
      <c r="G34" s="3" t="s">
        <v>12</v>
      </c>
      <c r="H34" s="30"/>
      <c r="I34" s="37"/>
      <c r="J34" s="38" t="str">
        <f t="shared" si="33"/>
        <v/>
      </c>
      <c r="K34" s="37"/>
      <c r="L34" s="38" t="str">
        <f t="shared" si="34"/>
        <v/>
      </c>
      <c r="M34" s="37"/>
      <c r="N34" s="38" t="str">
        <f t="shared" si="35"/>
        <v/>
      </c>
      <c r="O34" s="37"/>
      <c r="P34" s="38" t="str">
        <f t="shared" si="36"/>
        <v/>
      </c>
      <c r="Q34" s="37"/>
      <c r="R34" s="38" t="str">
        <f t="shared" si="37"/>
        <v/>
      </c>
      <c r="S34" s="37"/>
      <c r="T34" s="38" t="str">
        <f t="shared" si="38"/>
        <v/>
      </c>
      <c r="U34" s="37"/>
      <c r="V34" s="38" t="str">
        <f t="shared" si="39"/>
        <v/>
      </c>
      <c r="AF34" s="34"/>
      <c r="AG34" s="34"/>
      <c r="AH34" s="34"/>
      <c r="AI34" s="34"/>
      <c r="AJ34" s="34"/>
      <c r="DG34" s="8" t="str">
        <f t="shared" si="40"/>
        <v/>
      </c>
      <c r="DH34" s="3">
        <f t="shared" ref="DH34:DH41" si="46">COUNTIF(I34,DG34)+COUNTIF(K34,DG34)+COUNTIF(M34,DG34)+COUNTIF(O34,DG34)+COUNTIF(Q34,DG34)+COUNTIF(S34,DG34)+COUNTIF(U34,DG34)</f>
        <v>7</v>
      </c>
      <c r="DN34" s="12">
        <f t="shared" si="41"/>
        <v>0</v>
      </c>
      <c r="DO34" s="5">
        <f t="shared" si="42"/>
        <v>0</v>
      </c>
      <c r="DP34" s="5" t="str">
        <f t="shared" si="43"/>
        <v/>
      </c>
      <c r="DQ34" s="5" t="str">
        <f t="shared" si="44"/>
        <v/>
      </c>
      <c r="DR34" s="5">
        <f t="shared" si="45"/>
        <v>0</v>
      </c>
    </row>
    <row r="35" spans="1:170" ht="11.25" customHeight="1" x14ac:dyDescent="0.2">
      <c r="C35" s="2" t="str">
        <f>ß07</f>
        <v>Freiburg</v>
      </c>
      <c r="D35" s="3" t="s">
        <v>11</v>
      </c>
      <c r="E35" s="2" t="str">
        <f>ß14</f>
        <v>Stuttgart</v>
      </c>
      <c r="F35" s="29"/>
      <c r="G35" s="3" t="s">
        <v>12</v>
      </c>
      <c r="H35" s="30"/>
      <c r="I35" s="37"/>
      <c r="J35" s="38" t="str">
        <f t="shared" si="33"/>
        <v/>
      </c>
      <c r="K35" s="37"/>
      <c r="L35" s="38" t="str">
        <f t="shared" si="34"/>
        <v/>
      </c>
      <c r="M35" s="37"/>
      <c r="N35" s="38" t="str">
        <f t="shared" si="35"/>
        <v/>
      </c>
      <c r="O35" s="37"/>
      <c r="P35" s="38" t="str">
        <f t="shared" si="36"/>
        <v/>
      </c>
      <c r="Q35" s="37"/>
      <c r="R35" s="38" t="str">
        <f t="shared" si="37"/>
        <v/>
      </c>
      <c r="S35" s="37"/>
      <c r="T35" s="38" t="str">
        <f t="shared" si="38"/>
        <v/>
      </c>
      <c r="U35" s="37"/>
      <c r="V35" s="38" t="str">
        <f t="shared" si="39"/>
        <v/>
      </c>
      <c r="AF35" s="34"/>
      <c r="AG35" s="34"/>
      <c r="AH35" s="34"/>
      <c r="AI35" s="34"/>
      <c r="AJ35" s="34"/>
      <c r="DG35" s="8" t="str">
        <f t="shared" si="40"/>
        <v/>
      </c>
      <c r="DH35" s="3">
        <f t="shared" si="46"/>
        <v>7</v>
      </c>
      <c r="DN35" s="12">
        <f t="shared" si="41"/>
        <v>0</v>
      </c>
      <c r="DO35" s="5">
        <f t="shared" si="42"/>
        <v>0</v>
      </c>
      <c r="DP35" s="5" t="str">
        <f t="shared" si="43"/>
        <v/>
      </c>
      <c r="DQ35" s="5" t="str">
        <f t="shared" si="44"/>
        <v/>
      </c>
      <c r="DR35" s="5">
        <f t="shared" si="45"/>
        <v>0</v>
      </c>
    </row>
    <row r="36" spans="1:170" ht="11.25" customHeight="1" x14ac:dyDescent="0.2">
      <c r="C36" s="2" t="str">
        <f>ß09</f>
        <v>Mainz</v>
      </c>
      <c r="D36" s="3" t="s">
        <v>11</v>
      </c>
      <c r="E36" s="2" t="str">
        <f>ß02</f>
        <v>Leipzig</v>
      </c>
      <c r="F36" s="29"/>
      <c r="G36" s="3" t="s">
        <v>12</v>
      </c>
      <c r="H36" s="30"/>
      <c r="I36" s="37"/>
      <c r="J36" s="38" t="str">
        <f t="shared" si="33"/>
        <v/>
      </c>
      <c r="K36" s="37"/>
      <c r="L36" s="38" t="str">
        <f t="shared" si="34"/>
        <v/>
      </c>
      <c r="M36" s="37"/>
      <c r="N36" s="38" t="str">
        <f t="shared" si="35"/>
        <v/>
      </c>
      <c r="O36" s="37"/>
      <c r="P36" s="38" t="str">
        <f t="shared" si="36"/>
        <v/>
      </c>
      <c r="Q36" s="37"/>
      <c r="R36" s="38" t="str">
        <f t="shared" si="37"/>
        <v/>
      </c>
      <c r="S36" s="37"/>
      <c r="T36" s="38" t="str">
        <f t="shared" si="38"/>
        <v/>
      </c>
      <c r="U36" s="37"/>
      <c r="V36" s="38" t="str">
        <f t="shared" si="39"/>
        <v/>
      </c>
      <c r="AF36" s="34"/>
      <c r="AG36" s="34"/>
      <c r="AH36" s="34"/>
      <c r="AI36" s="34"/>
      <c r="AJ36" s="34"/>
      <c r="DG36" s="8" t="str">
        <f t="shared" si="40"/>
        <v/>
      </c>
      <c r="DH36" s="3">
        <f t="shared" si="46"/>
        <v>7</v>
      </c>
      <c r="DN36" s="12">
        <f t="shared" si="41"/>
        <v>0</v>
      </c>
      <c r="DO36" s="5">
        <f t="shared" si="42"/>
        <v>0</v>
      </c>
      <c r="DP36" s="5" t="str">
        <f t="shared" si="43"/>
        <v/>
      </c>
      <c r="DQ36" s="5" t="str">
        <f t="shared" si="44"/>
        <v/>
      </c>
      <c r="DR36" s="5">
        <f t="shared" si="45"/>
        <v>0</v>
      </c>
    </row>
    <row r="37" spans="1:170" ht="11.25" customHeight="1" x14ac:dyDescent="0.2">
      <c r="C37" s="2" t="str">
        <f>ß11</f>
        <v>M'gladb.</v>
      </c>
      <c r="D37" s="3" t="s">
        <v>11</v>
      </c>
      <c r="E37" s="2" t="str">
        <f>ß06</f>
        <v>Werder</v>
      </c>
      <c r="F37" s="29"/>
      <c r="G37" s="3" t="s">
        <v>12</v>
      </c>
      <c r="H37" s="30"/>
      <c r="I37" s="37"/>
      <c r="J37" s="38" t="str">
        <f t="shared" si="33"/>
        <v/>
      </c>
      <c r="K37" s="37"/>
      <c r="L37" s="38" t="str">
        <f t="shared" si="34"/>
        <v/>
      </c>
      <c r="M37" s="37"/>
      <c r="N37" s="38" t="str">
        <f t="shared" si="35"/>
        <v/>
      </c>
      <c r="O37" s="37"/>
      <c r="P37" s="38" t="str">
        <f t="shared" si="36"/>
        <v/>
      </c>
      <c r="Q37" s="37"/>
      <c r="R37" s="38" t="str">
        <f t="shared" si="37"/>
        <v/>
      </c>
      <c r="S37" s="37"/>
      <c r="T37" s="38" t="str">
        <f t="shared" si="38"/>
        <v/>
      </c>
      <c r="U37" s="37"/>
      <c r="V37" s="38" t="str">
        <f t="shared" si="39"/>
        <v/>
      </c>
      <c r="AF37" s="34"/>
      <c r="AG37" s="34"/>
      <c r="AH37" s="34"/>
      <c r="AI37" s="34"/>
      <c r="AJ37" s="34"/>
      <c r="DG37" s="8" t="str">
        <f t="shared" si="40"/>
        <v/>
      </c>
      <c r="DH37" s="3">
        <f t="shared" si="46"/>
        <v>7</v>
      </c>
      <c r="DN37" s="12">
        <f t="shared" si="41"/>
        <v>0</v>
      </c>
      <c r="DO37" s="5">
        <f t="shared" si="42"/>
        <v>0</v>
      </c>
      <c r="DP37" s="5" t="str">
        <f t="shared" si="43"/>
        <v/>
      </c>
      <c r="DQ37" s="5" t="str">
        <f t="shared" si="44"/>
        <v/>
      </c>
      <c r="DR37" s="5">
        <f t="shared" si="45"/>
        <v>0</v>
      </c>
    </row>
    <row r="38" spans="1:170" ht="11.25" customHeight="1" x14ac:dyDescent="0.2">
      <c r="C38" s="2" t="str">
        <f>ß18</f>
        <v>Wolfsburg</v>
      </c>
      <c r="D38" s="3" t="s">
        <v>11</v>
      </c>
      <c r="E38" s="2" t="str">
        <f>ß10</f>
        <v>Köln</v>
      </c>
      <c r="F38" s="29"/>
      <c r="G38" s="3" t="s">
        <v>12</v>
      </c>
      <c r="H38" s="30"/>
      <c r="I38" s="37"/>
      <c r="J38" s="38" t="str">
        <f t="shared" si="33"/>
        <v/>
      </c>
      <c r="K38" s="37"/>
      <c r="L38" s="38" t="str">
        <f t="shared" si="34"/>
        <v/>
      </c>
      <c r="M38" s="37"/>
      <c r="N38" s="38" t="str">
        <f t="shared" si="35"/>
        <v/>
      </c>
      <c r="O38" s="37"/>
      <c r="P38" s="38" t="str">
        <f t="shared" si="36"/>
        <v/>
      </c>
      <c r="Q38" s="37"/>
      <c r="R38" s="38" t="str">
        <f t="shared" si="37"/>
        <v/>
      </c>
      <c r="S38" s="37"/>
      <c r="T38" s="38" t="str">
        <f t="shared" si="38"/>
        <v/>
      </c>
      <c r="U38" s="37"/>
      <c r="V38" s="38" t="str">
        <f t="shared" si="39"/>
        <v/>
      </c>
      <c r="AF38" s="34"/>
      <c r="AG38" s="34"/>
      <c r="AH38" s="34"/>
      <c r="AI38" s="34"/>
      <c r="AJ38" s="34"/>
      <c r="DG38" s="8" t="str">
        <f t="shared" si="40"/>
        <v/>
      </c>
      <c r="DH38" s="3">
        <f t="shared" si="46"/>
        <v>7</v>
      </c>
      <c r="DN38" s="12">
        <f t="shared" si="41"/>
        <v>0</v>
      </c>
      <c r="DO38" s="5">
        <f t="shared" si="42"/>
        <v>0</v>
      </c>
      <c r="DP38" s="5" t="str">
        <f t="shared" si="43"/>
        <v/>
      </c>
      <c r="DQ38" s="5" t="str">
        <f t="shared" si="44"/>
        <v/>
      </c>
      <c r="DR38" s="5">
        <f t="shared" si="45"/>
        <v>0</v>
      </c>
    </row>
    <row r="39" spans="1:170" ht="11.25" customHeight="1" x14ac:dyDescent="0.2">
      <c r="C39" s="2" t="str">
        <f>ß13</f>
        <v>Union</v>
      </c>
      <c r="D39" s="3" t="s">
        <v>11</v>
      </c>
      <c r="E39" s="2" t="str">
        <f>ß04</f>
        <v>Hoffenheim</v>
      </c>
      <c r="F39" s="29"/>
      <c r="G39" s="3" t="s">
        <v>12</v>
      </c>
      <c r="H39" s="30"/>
      <c r="I39" s="37"/>
      <c r="J39" s="38" t="str">
        <f t="shared" si="33"/>
        <v/>
      </c>
      <c r="K39" s="37"/>
      <c r="L39" s="38" t="str">
        <f t="shared" si="34"/>
        <v/>
      </c>
      <c r="M39" s="37"/>
      <c r="N39" s="38" t="str">
        <f t="shared" si="35"/>
        <v/>
      </c>
      <c r="O39" s="37"/>
      <c r="P39" s="38" t="str">
        <f t="shared" si="36"/>
        <v/>
      </c>
      <c r="Q39" s="37"/>
      <c r="R39" s="38" t="str">
        <f t="shared" si="37"/>
        <v/>
      </c>
      <c r="S39" s="37"/>
      <c r="T39" s="38" t="str">
        <f t="shared" si="38"/>
        <v/>
      </c>
      <c r="U39" s="37"/>
      <c r="V39" s="38" t="str">
        <f t="shared" si="39"/>
        <v/>
      </c>
      <c r="AF39" s="34"/>
      <c r="AG39" s="34"/>
      <c r="AH39" s="34"/>
      <c r="AI39" s="34"/>
      <c r="AJ39" s="34"/>
      <c r="DG39" s="8" t="str">
        <f t="shared" si="40"/>
        <v/>
      </c>
      <c r="DH39" s="3">
        <f t="shared" si="46"/>
        <v>7</v>
      </c>
      <c r="DN39" s="12">
        <f t="shared" si="41"/>
        <v>0</v>
      </c>
      <c r="DO39" s="5">
        <f t="shared" si="42"/>
        <v>0</v>
      </c>
      <c r="DP39" s="5" t="str">
        <f t="shared" si="43"/>
        <v/>
      </c>
      <c r="DQ39" s="5" t="str">
        <f t="shared" si="44"/>
        <v/>
      </c>
      <c r="DR39" s="5">
        <f t="shared" si="45"/>
        <v>0</v>
      </c>
    </row>
    <row r="40" spans="1:170" ht="11.25" customHeight="1" x14ac:dyDescent="0.2">
      <c r="C40" s="2" t="str">
        <f>ß15</f>
        <v>St. Pauli</v>
      </c>
      <c r="D40" s="3" t="s">
        <v>11</v>
      </c>
      <c r="E40" s="2" t="str">
        <f>ß08</f>
        <v>Augsburg</v>
      </c>
      <c r="F40" s="29"/>
      <c r="G40" s="3" t="s">
        <v>12</v>
      </c>
      <c r="H40" s="30"/>
      <c r="I40" s="37"/>
      <c r="J40" s="38" t="str">
        <f t="shared" si="33"/>
        <v/>
      </c>
      <c r="K40" s="37"/>
      <c r="L40" s="38" t="str">
        <f t="shared" si="34"/>
        <v/>
      </c>
      <c r="M40" s="37"/>
      <c r="N40" s="38" t="str">
        <f t="shared" si="35"/>
        <v/>
      </c>
      <c r="O40" s="37"/>
      <c r="P40" s="38" t="str">
        <f t="shared" si="36"/>
        <v/>
      </c>
      <c r="Q40" s="37"/>
      <c r="R40" s="38" t="str">
        <f t="shared" si="37"/>
        <v/>
      </c>
      <c r="S40" s="37"/>
      <c r="T40" s="38" t="str">
        <f t="shared" si="38"/>
        <v/>
      </c>
      <c r="U40" s="37"/>
      <c r="V40" s="38" t="str">
        <f t="shared" si="39"/>
        <v/>
      </c>
      <c r="AF40" s="34"/>
      <c r="AG40" s="34"/>
      <c r="AH40" s="34"/>
      <c r="AI40" s="34"/>
      <c r="AJ40" s="34"/>
      <c r="DG40" s="8" t="str">
        <f t="shared" si="40"/>
        <v/>
      </c>
      <c r="DH40" s="3">
        <f t="shared" si="46"/>
        <v>7</v>
      </c>
      <c r="DN40" s="12">
        <f t="shared" si="41"/>
        <v>0</v>
      </c>
      <c r="DO40" s="5">
        <f t="shared" si="42"/>
        <v>0</v>
      </c>
      <c r="DP40" s="5" t="str">
        <f t="shared" si="43"/>
        <v/>
      </c>
      <c r="DQ40" s="5" t="str">
        <f t="shared" si="44"/>
        <v/>
      </c>
      <c r="DR40" s="5">
        <f t="shared" si="45"/>
        <v>0</v>
      </c>
    </row>
    <row r="41" spans="1:170" ht="11.25" customHeight="1" thickBot="1" x14ac:dyDescent="0.25">
      <c r="C41" s="2" t="str">
        <f>ß17</f>
        <v>Heidenheim</v>
      </c>
      <c r="D41" s="3" t="s">
        <v>11</v>
      </c>
      <c r="E41" s="2" t="str">
        <f>ß16</f>
        <v>Dortmund</v>
      </c>
      <c r="F41" s="29"/>
      <c r="G41" s="3" t="s">
        <v>12</v>
      </c>
      <c r="H41" s="30"/>
      <c r="I41" s="37"/>
      <c r="J41" s="38" t="str">
        <f t="shared" si="33"/>
        <v/>
      </c>
      <c r="K41" s="37"/>
      <c r="L41" s="38" t="str">
        <f t="shared" si="34"/>
        <v/>
      </c>
      <c r="M41" s="37"/>
      <c r="N41" s="38" t="str">
        <f t="shared" si="35"/>
        <v/>
      </c>
      <c r="O41" s="37"/>
      <c r="P41" s="38" t="str">
        <f t="shared" si="36"/>
        <v/>
      </c>
      <c r="Q41" s="37"/>
      <c r="R41" s="38" t="str">
        <f t="shared" si="37"/>
        <v/>
      </c>
      <c r="S41" s="37"/>
      <c r="T41" s="38" t="str">
        <f t="shared" si="38"/>
        <v/>
      </c>
      <c r="U41" s="37"/>
      <c r="V41" s="38" t="str">
        <f t="shared" si="39"/>
        <v/>
      </c>
      <c r="AF41" s="34"/>
      <c r="AG41" s="34"/>
      <c r="AH41" s="34"/>
      <c r="AI41" s="34"/>
      <c r="AJ41" s="34"/>
      <c r="DG41" s="8" t="str">
        <f t="shared" si="40"/>
        <v/>
      </c>
      <c r="DH41" s="3">
        <f t="shared" si="46"/>
        <v>7</v>
      </c>
      <c r="DN41" s="12">
        <f t="shared" si="41"/>
        <v>0</v>
      </c>
      <c r="DO41" s="5">
        <f t="shared" si="42"/>
        <v>0</v>
      </c>
      <c r="DP41" s="5" t="str">
        <f t="shared" si="43"/>
        <v/>
      </c>
      <c r="DQ41" s="5" t="str">
        <f t="shared" si="44"/>
        <v/>
      </c>
      <c r="DR41" s="5">
        <f t="shared" si="45"/>
        <v>0</v>
      </c>
    </row>
    <row r="42" spans="1:170" ht="11.25" customHeight="1" thickTop="1" x14ac:dyDescent="0.2">
      <c r="C42" s="41">
        <f>(I42+K42+M42+O42+Q42+S42+U42)</f>
        <v>0</v>
      </c>
      <c r="E42" s="42">
        <f>C42/8</f>
        <v>0</v>
      </c>
      <c r="F42" s="41">
        <f>SUM(F33:F41)</f>
        <v>0</v>
      </c>
      <c r="G42" s="2"/>
      <c r="H42" s="43">
        <f>SUM(H33:H41)</f>
        <v>0</v>
      </c>
      <c r="I42" s="44">
        <f>COUNTIF(J33:J41,"&gt;0")</f>
        <v>0</v>
      </c>
      <c r="J42" s="45">
        <f>I42+J27</f>
        <v>0</v>
      </c>
      <c r="K42" s="44">
        <f>COUNTIF(L33:L41,"&gt;0")</f>
        <v>0</v>
      </c>
      <c r="L42" s="45">
        <f>K42+L27</f>
        <v>0</v>
      </c>
      <c r="M42" s="44">
        <f>COUNTIF(N33:N41,"&gt;0")</f>
        <v>0</v>
      </c>
      <c r="N42" s="45">
        <f>M42+N27</f>
        <v>0</v>
      </c>
      <c r="O42" s="44">
        <f>COUNTIF(P33:P41,"&gt;0")</f>
        <v>0</v>
      </c>
      <c r="P42" s="45">
        <f>O42+P27</f>
        <v>0</v>
      </c>
      <c r="Q42" s="44">
        <f>COUNTIF(R33:R41,"&gt;0")</f>
        <v>0</v>
      </c>
      <c r="R42" s="45">
        <f>Q42+R27</f>
        <v>0</v>
      </c>
      <c r="S42" s="44">
        <f>COUNTIF(T33:T41,"&gt;0")</f>
        <v>0</v>
      </c>
      <c r="T42" s="45">
        <f>S42+T27</f>
        <v>0</v>
      </c>
      <c r="U42" s="44">
        <f>COUNTIF(V33:V41,"&gt;0")</f>
        <v>0</v>
      </c>
      <c r="V42" s="45">
        <f>U42+V27</f>
        <v>0</v>
      </c>
      <c r="AF42" s="34"/>
      <c r="AG42" s="34"/>
      <c r="AH42" s="34"/>
      <c r="AI42" s="34"/>
      <c r="AJ42" s="34"/>
    </row>
    <row r="43" spans="1:170" ht="11.25" customHeight="1" x14ac:dyDescent="0.2">
      <c r="C43" s="41">
        <f>(I43+K43+M43+O43+Q43+S43+U43)</f>
        <v>0</v>
      </c>
      <c r="E43" s="42">
        <f>C43/8</f>
        <v>0</v>
      </c>
      <c r="F43" s="137">
        <f>F42+H42</f>
        <v>0</v>
      </c>
      <c r="G43" s="137"/>
      <c r="H43" s="137"/>
      <c r="I43" s="46">
        <f>SUM(J33:J41)</f>
        <v>0</v>
      </c>
      <c r="J43" s="47">
        <f>I43+J28</f>
        <v>0</v>
      </c>
      <c r="K43" s="46">
        <f>SUM(L33:L41)</f>
        <v>0</v>
      </c>
      <c r="L43" s="47">
        <f>K43+L28</f>
        <v>0</v>
      </c>
      <c r="M43" s="46">
        <f>SUM(N33:N41)</f>
        <v>0</v>
      </c>
      <c r="N43" s="47">
        <f>M43+N28</f>
        <v>0</v>
      </c>
      <c r="O43" s="46">
        <f>SUM(P33:P41)</f>
        <v>0</v>
      </c>
      <c r="P43" s="47">
        <f>O43+P28</f>
        <v>0</v>
      </c>
      <c r="Q43" s="46">
        <f>SUM(R33:R41)</f>
        <v>0</v>
      </c>
      <c r="R43" s="47">
        <f>Q43+R28</f>
        <v>0</v>
      </c>
      <c r="S43" s="46">
        <f>SUM(T33:T41)</f>
        <v>0</v>
      </c>
      <c r="T43" s="47">
        <f>S43+T28</f>
        <v>0</v>
      </c>
      <c r="U43" s="46">
        <f>SUM(V33:V41)</f>
        <v>0</v>
      </c>
      <c r="V43" s="47">
        <f>U43+V28</f>
        <v>0</v>
      </c>
      <c r="AF43" s="34"/>
      <c r="AG43" s="34"/>
      <c r="AH43" s="34"/>
      <c r="AI43" s="34"/>
      <c r="AJ43" s="34"/>
    </row>
    <row r="44" spans="1:170" ht="11.25" customHeight="1" thickBot="1" x14ac:dyDescent="0.25">
      <c r="C44" s="41">
        <f>(I44+K44+M44+O44+Q44+S44+U44)</f>
        <v>0</v>
      </c>
      <c r="E44" s="42">
        <f>C44/8</f>
        <v>0</v>
      </c>
      <c r="F44" s="138">
        <f>F43+F29</f>
        <v>0</v>
      </c>
      <c r="G44" s="138"/>
      <c r="H44" s="138"/>
      <c r="I44" s="48">
        <f>I42*I43</f>
        <v>0</v>
      </c>
      <c r="J44" s="49">
        <f>I44+J29</f>
        <v>0</v>
      </c>
      <c r="K44" s="48">
        <f>K42*K43</f>
        <v>0</v>
      </c>
      <c r="L44" s="49">
        <f>K44+L29</f>
        <v>0</v>
      </c>
      <c r="M44" s="48">
        <f>M42*M43</f>
        <v>0</v>
      </c>
      <c r="N44" s="49">
        <f>M44+N29</f>
        <v>0</v>
      </c>
      <c r="O44" s="48">
        <f>O42*O43</f>
        <v>0</v>
      </c>
      <c r="P44" s="49">
        <f>O44+P29</f>
        <v>0</v>
      </c>
      <c r="Q44" s="48">
        <f>Q42*Q43</f>
        <v>0</v>
      </c>
      <c r="R44" s="49">
        <f>Q44+R29</f>
        <v>0</v>
      </c>
      <c r="S44" s="48">
        <f>S42*S43</f>
        <v>0</v>
      </c>
      <c r="T44" s="49">
        <f>S44+T29</f>
        <v>0</v>
      </c>
      <c r="U44" s="48">
        <f>U42*U43</f>
        <v>0</v>
      </c>
      <c r="V44" s="49">
        <f>U44+V29</f>
        <v>0</v>
      </c>
      <c r="AF44" s="34"/>
      <c r="AG44" s="34"/>
      <c r="AH44" s="34"/>
      <c r="AI44" s="34"/>
      <c r="AJ44" s="34"/>
      <c r="AL44" s="5">
        <f>MAX(I44,K44,M44,O44,Q44,S44,U44)</f>
        <v>0</v>
      </c>
      <c r="AM44" s="5">
        <f>MIN(I44,K44,M44,O44,Q44,S44,U44)</f>
        <v>0</v>
      </c>
      <c r="AN44" s="5"/>
      <c r="AO44" s="5"/>
      <c r="AP44" s="5"/>
      <c r="AQ44" s="5"/>
      <c r="AR44" s="5"/>
      <c r="AS44" s="13"/>
      <c r="AT44" s="5"/>
      <c r="AU44" s="5"/>
      <c r="AV44" s="5"/>
      <c r="AW44" s="5"/>
      <c r="AX44" s="5"/>
      <c r="AY44" s="5"/>
      <c r="AZ44" s="5"/>
      <c r="BA44" s="5"/>
      <c r="BB44" s="5"/>
      <c r="BD44" s="5"/>
      <c r="BE44" s="5"/>
      <c r="BF44" s="14"/>
      <c r="BG44" s="13"/>
      <c r="BH44" s="5"/>
      <c r="BI44" s="14"/>
      <c r="BJ44" s="13"/>
      <c r="BK44" s="5"/>
      <c r="BL44" s="14"/>
      <c r="BM44" s="13"/>
      <c r="BN44" s="5"/>
      <c r="BO44" s="14"/>
      <c r="BP44" s="13"/>
      <c r="BQ44" s="5"/>
      <c r="BR44" s="14"/>
      <c r="BS44" s="13"/>
      <c r="BT44" s="5"/>
      <c r="BU44" s="14"/>
      <c r="BV44" s="13"/>
      <c r="BW44" s="5"/>
      <c r="BX44" s="14"/>
      <c r="BY44" s="13"/>
      <c r="BZ44" s="5"/>
      <c r="CA44" s="14"/>
      <c r="CB44" s="13"/>
      <c r="CC44" s="5"/>
      <c r="CD44" s="14"/>
      <c r="CE44" s="13"/>
      <c r="CF44" s="5"/>
      <c r="CG44" s="14"/>
      <c r="CH44" s="13"/>
      <c r="CI44" s="5"/>
      <c r="CJ44" s="14"/>
      <c r="CK44" s="13"/>
      <c r="CL44" s="5"/>
      <c r="CM44" s="14"/>
      <c r="CN44" s="13"/>
      <c r="CO44" s="5"/>
      <c r="CP44" s="14"/>
      <c r="CQ44" s="13"/>
      <c r="CR44" s="5"/>
      <c r="CS44" s="14"/>
      <c r="CT44" s="13"/>
      <c r="CU44" s="5"/>
      <c r="CV44" s="14"/>
      <c r="CW44" s="13"/>
      <c r="CX44" s="5"/>
      <c r="CY44" s="14"/>
      <c r="CZ44" s="13"/>
      <c r="DA44" s="5"/>
      <c r="DB44" s="14"/>
      <c r="DC44" s="13"/>
      <c r="DD44" s="5"/>
      <c r="DE44" s="14"/>
      <c r="DF44" s="5"/>
      <c r="DG44" s="5"/>
      <c r="DH44" s="5"/>
    </row>
    <row r="45" spans="1:170" ht="11.25" customHeight="1" thickTop="1" x14ac:dyDescent="0.2">
      <c r="I45" s="50"/>
      <c r="J45" s="50">
        <f>L44-J44</f>
        <v>0</v>
      </c>
      <c r="K45" s="50"/>
      <c r="L45" s="50"/>
      <c r="M45" s="50"/>
      <c r="N45" s="50">
        <f>L44-N44</f>
        <v>0</v>
      </c>
      <c r="O45" s="50"/>
      <c r="P45" s="50">
        <f>L44-P44</f>
        <v>0</v>
      </c>
      <c r="Q45" s="50"/>
      <c r="R45" s="50">
        <f>L44-R44</f>
        <v>0</v>
      </c>
      <c r="S45" s="50"/>
      <c r="T45" s="50">
        <f>L44-T44</f>
        <v>0</v>
      </c>
      <c r="U45" s="50"/>
      <c r="V45" s="50">
        <f>L44-V44</f>
        <v>0</v>
      </c>
    </row>
    <row r="46" spans="1:170" ht="11.25" customHeight="1" x14ac:dyDescent="0.2">
      <c r="I46" s="139" t="str">
        <f>ß101</f>
        <v>Kropp</v>
      </c>
      <c r="J46" s="139"/>
      <c r="K46" s="139" t="str">
        <f>ß102</f>
        <v>Nörnberg</v>
      </c>
      <c r="L46" s="139"/>
      <c r="M46" s="139" t="str">
        <f>ß103</f>
        <v>Bübel</v>
      </c>
      <c r="N46" s="139"/>
      <c r="O46" s="139" t="str">
        <f>ß104</f>
        <v>Schwicht.</v>
      </c>
      <c r="P46" s="139"/>
      <c r="Q46" s="139" t="str">
        <f>ß105</f>
        <v>Rontzko.</v>
      </c>
      <c r="R46" s="139"/>
      <c r="S46" s="139" t="str">
        <f>ß106</f>
        <v>Hauschildt</v>
      </c>
      <c r="T46" s="139"/>
      <c r="U46" s="139" t="str">
        <f>ß107</f>
        <v>Zerres</v>
      </c>
      <c r="V46" s="139"/>
      <c r="AF46" s="11"/>
      <c r="AG46" s="11"/>
      <c r="AH46" s="11"/>
      <c r="AI46" s="11"/>
      <c r="AJ46" s="11"/>
      <c r="AL46" s="5" t="str">
        <f>IF($I59=$AL59,I46,"x")</f>
        <v>Kropp</v>
      </c>
      <c r="AM46" s="5" t="str">
        <f>IF($K59=$AL59,K46,"x")</f>
        <v>Nörnberg</v>
      </c>
      <c r="AN46" s="5" t="str">
        <f>IF($M59=$AL59,M46,"x")</f>
        <v>Bübel</v>
      </c>
      <c r="AO46" s="5" t="str">
        <f>IF($O59=$AL59,O46,"x")</f>
        <v>Schwicht.</v>
      </c>
      <c r="AP46" s="5" t="str">
        <f>IF($Q59=$AL59,Q46,"x")</f>
        <v>Rontzko.</v>
      </c>
      <c r="AQ46" s="5" t="str">
        <f>IF($S59=$AL59,S46,"x")</f>
        <v>Hauschildt</v>
      </c>
      <c r="AR46" s="5" t="str">
        <f>IF($U59=$AL59,U46,"x")</f>
        <v>Zerres</v>
      </c>
      <c r="AS46" s="13" t="str">
        <f>IF($I59=$AM59,I46,"x")</f>
        <v>Kropp</v>
      </c>
      <c r="AT46" s="5" t="str">
        <f>IF($K59=$AM59,K46,"x")</f>
        <v>Nörnberg</v>
      </c>
      <c r="AU46" s="5" t="str">
        <f>IF($M59=$AM59,M46,"x")</f>
        <v>Bübel</v>
      </c>
      <c r="AV46" s="5" t="str">
        <f>IF($O59=$AM59,O46,"x")</f>
        <v>Schwicht.</v>
      </c>
      <c r="AW46" s="5" t="str">
        <f>IF($Q59=$AM59,Q46,"x")</f>
        <v>Rontzko.</v>
      </c>
      <c r="AX46" s="5" t="str">
        <f>IF($S59=$AM59,S46,"x")</f>
        <v>Hauschildt</v>
      </c>
      <c r="AY46" s="5" t="str">
        <f>IF($U59=$AM59,U46,"x")</f>
        <v>Zerres</v>
      </c>
      <c r="BD46" s="140" t="str">
        <f>ß01</f>
        <v>Bayern</v>
      </c>
      <c r="BE46" s="140"/>
      <c r="BF46" s="140"/>
      <c r="BG46" s="141" t="str">
        <f>ß02</f>
        <v>Leipzig</v>
      </c>
      <c r="BH46" s="141"/>
      <c r="BI46" s="141"/>
      <c r="BJ46" s="141" t="str">
        <f>ß03</f>
        <v>Leverk.</v>
      </c>
      <c r="BK46" s="141"/>
      <c r="BL46" s="141"/>
      <c r="BM46" s="141" t="str">
        <f>ß04</f>
        <v>Hoffenheim</v>
      </c>
      <c r="BN46" s="141"/>
      <c r="BO46" s="141"/>
      <c r="BP46" s="141" t="str">
        <f>ß05</f>
        <v>Frankfurt</v>
      </c>
      <c r="BQ46" s="141"/>
      <c r="BR46" s="141"/>
      <c r="BS46" s="141" t="str">
        <f>ß06</f>
        <v>Werder</v>
      </c>
      <c r="BT46" s="141"/>
      <c r="BU46" s="141"/>
      <c r="BV46" s="141" t="str">
        <f>ß07</f>
        <v>Freiburg</v>
      </c>
      <c r="BW46" s="141"/>
      <c r="BX46" s="141"/>
      <c r="BY46" s="141" t="str">
        <f>ß08</f>
        <v>Augsburg</v>
      </c>
      <c r="BZ46" s="141"/>
      <c r="CA46" s="141"/>
      <c r="CB46" s="141" t="str">
        <f>ß09</f>
        <v>Mainz</v>
      </c>
      <c r="CC46" s="141"/>
      <c r="CD46" s="141"/>
      <c r="CE46" s="141" t="str">
        <f>ß10</f>
        <v>Köln</v>
      </c>
      <c r="CF46" s="141"/>
      <c r="CG46" s="141"/>
      <c r="CH46" s="141" t="str">
        <f>ß11</f>
        <v>M'gladb.</v>
      </c>
      <c r="CI46" s="141"/>
      <c r="CJ46" s="141"/>
      <c r="CK46" s="141" t="str">
        <f>ß12</f>
        <v>HSV</v>
      </c>
      <c r="CL46" s="141"/>
      <c r="CM46" s="141"/>
      <c r="CN46" s="141" t="str">
        <f>ß13</f>
        <v>Union</v>
      </c>
      <c r="CO46" s="141"/>
      <c r="CP46" s="141"/>
      <c r="CQ46" s="141" t="str">
        <f>ß14</f>
        <v>Stuttgart</v>
      </c>
      <c r="CR46" s="141"/>
      <c r="CS46" s="141"/>
      <c r="CT46" s="141" t="str">
        <f>ß15</f>
        <v>St. Pauli</v>
      </c>
      <c r="CU46" s="141"/>
      <c r="CV46" s="141"/>
      <c r="CW46" s="141" t="str">
        <f>ß16</f>
        <v>Dortmund</v>
      </c>
      <c r="CX46" s="141"/>
      <c r="CY46" s="141"/>
      <c r="CZ46" s="141" t="str">
        <f>ß17</f>
        <v>Heidenheim</v>
      </c>
      <c r="DA46" s="141"/>
      <c r="DB46" s="141"/>
      <c r="DC46" s="141" t="str">
        <f>ß18</f>
        <v>Wolfsburg</v>
      </c>
      <c r="DD46" s="141"/>
      <c r="DE46" s="141"/>
    </row>
    <row r="47" spans="1:170" s="21" customFormat="1" ht="11.25" customHeight="1" x14ac:dyDescent="0.2">
      <c r="A47" s="1"/>
      <c r="B47" s="1"/>
      <c r="C47" s="16" t="str">
        <f>Mannschaften!F4</f>
        <v>4. Spieltag</v>
      </c>
      <c r="D47" s="11"/>
      <c r="E47" s="17" t="str">
        <f>Mannschaften!G4</f>
        <v>19.-21.9.25</v>
      </c>
      <c r="F47" s="18"/>
      <c r="G47" s="11"/>
      <c r="H47" s="16"/>
      <c r="I47" s="19">
        <f>RANK(Rang!A4,Rang!A4:G4)</f>
        <v>1</v>
      </c>
      <c r="J47" s="20">
        <f>RANK(Rang!H4,Rang!H4:N4)</f>
        <v>1</v>
      </c>
      <c r="K47" s="19">
        <f>RANK(Rang!B4,Rang!A4:G4)</f>
        <v>1</v>
      </c>
      <c r="L47" s="20">
        <f>RANK(Rang!I4,Rang!H4:N4)</f>
        <v>1</v>
      </c>
      <c r="M47" s="19">
        <f>RANK(Rang!C4,Rang!A4:G4)</f>
        <v>1</v>
      </c>
      <c r="N47" s="20">
        <f>RANK(Rang!J4,Rang!H4:N4)</f>
        <v>1</v>
      </c>
      <c r="O47" s="19">
        <f>RANK(Rang!D4,Rang!A4:G4)</f>
        <v>1</v>
      </c>
      <c r="P47" s="20">
        <f>RANK(Rang!K4,Rang!H4:N4)</f>
        <v>1</v>
      </c>
      <c r="Q47" s="19">
        <f>RANK(Rang!E4,Rang!A4:G4)</f>
        <v>1</v>
      </c>
      <c r="R47" s="20">
        <f>RANK(Rang!L4,Rang!H4:N4)</f>
        <v>1</v>
      </c>
      <c r="S47" s="19">
        <f>RANK(Rang!F4,Rang!A4:G4)</f>
        <v>1</v>
      </c>
      <c r="T47" s="20">
        <f>RANK(Rang!M4,Rang!H4:N4)</f>
        <v>1</v>
      </c>
      <c r="U47" s="19">
        <f>RANK(Rang!G4,Rang!A4:G4)</f>
        <v>1</v>
      </c>
      <c r="V47" s="20">
        <f>RANK(Rang!N4,Rang!H4:N4)</f>
        <v>1</v>
      </c>
      <c r="AF47" s="22"/>
      <c r="AG47" s="22"/>
      <c r="AH47" s="22"/>
      <c r="AI47" s="22"/>
      <c r="AJ47" s="22"/>
      <c r="AS47" s="24"/>
      <c r="BC47" s="23"/>
      <c r="BD47" s="25" t="s">
        <v>4</v>
      </c>
      <c r="BE47" s="25" t="s">
        <v>5</v>
      </c>
      <c r="BF47" s="26" t="s">
        <v>6</v>
      </c>
      <c r="BG47" s="27" t="s">
        <v>4</v>
      </c>
      <c r="BH47" s="25" t="s">
        <v>5</v>
      </c>
      <c r="BI47" s="26" t="s">
        <v>6</v>
      </c>
      <c r="BJ47" s="27" t="s">
        <v>4</v>
      </c>
      <c r="BK47" s="25" t="s">
        <v>5</v>
      </c>
      <c r="BL47" s="26" t="s">
        <v>6</v>
      </c>
      <c r="BM47" s="27" t="s">
        <v>4</v>
      </c>
      <c r="BN47" s="25" t="s">
        <v>5</v>
      </c>
      <c r="BO47" s="26" t="s">
        <v>6</v>
      </c>
      <c r="BP47" s="27" t="s">
        <v>4</v>
      </c>
      <c r="BQ47" s="25" t="s">
        <v>5</v>
      </c>
      <c r="BR47" s="26" t="s">
        <v>6</v>
      </c>
      <c r="BS47" s="27" t="s">
        <v>4</v>
      </c>
      <c r="BT47" s="25" t="s">
        <v>5</v>
      </c>
      <c r="BU47" s="26" t="s">
        <v>6</v>
      </c>
      <c r="BV47" s="27" t="s">
        <v>4</v>
      </c>
      <c r="BW47" s="25" t="s">
        <v>5</v>
      </c>
      <c r="BX47" s="26" t="s">
        <v>6</v>
      </c>
      <c r="BY47" s="27" t="s">
        <v>4</v>
      </c>
      <c r="BZ47" s="25" t="s">
        <v>5</v>
      </c>
      <c r="CA47" s="26" t="s">
        <v>6</v>
      </c>
      <c r="CB47" s="27" t="s">
        <v>4</v>
      </c>
      <c r="CC47" s="25" t="s">
        <v>5</v>
      </c>
      <c r="CD47" s="26" t="s">
        <v>6</v>
      </c>
      <c r="CE47" s="27" t="s">
        <v>4</v>
      </c>
      <c r="CF47" s="25" t="s">
        <v>5</v>
      </c>
      <c r="CG47" s="26" t="s">
        <v>6</v>
      </c>
      <c r="CH47" s="27" t="s">
        <v>4</v>
      </c>
      <c r="CI47" s="25" t="s">
        <v>5</v>
      </c>
      <c r="CJ47" s="26" t="s">
        <v>6</v>
      </c>
      <c r="CK47" s="27" t="s">
        <v>4</v>
      </c>
      <c r="CL47" s="25" t="s">
        <v>5</v>
      </c>
      <c r="CM47" s="26" t="s">
        <v>6</v>
      </c>
      <c r="CN47" s="27" t="s">
        <v>4</v>
      </c>
      <c r="CO47" s="25" t="s">
        <v>5</v>
      </c>
      <c r="CP47" s="26" t="s">
        <v>6</v>
      </c>
      <c r="CQ47" s="27" t="s">
        <v>4</v>
      </c>
      <c r="CR47" s="25" t="s">
        <v>5</v>
      </c>
      <c r="CS47" s="26" t="s">
        <v>6</v>
      </c>
      <c r="CT47" s="27" t="s">
        <v>4</v>
      </c>
      <c r="CU47" s="25" t="s">
        <v>5</v>
      </c>
      <c r="CV47" s="26" t="s">
        <v>6</v>
      </c>
      <c r="CW47" s="27" t="s">
        <v>4</v>
      </c>
      <c r="CX47" s="25" t="s">
        <v>5</v>
      </c>
      <c r="CY47" s="26" t="s">
        <v>6</v>
      </c>
      <c r="CZ47" s="27" t="s">
        <v>4</v>
      </c>
      <c r="DA47" s="25" t="s">
        <v>5</v>
      </c>
      <c r="DB47" s="26" t="s">
        <v>6</v>
      </c>
      <c r="DC47" s="27" t="s">
        <v>4</v>
      </c>
      <c r="DD47" s="25" t="s">
        <v>5</v>
      </c>
      <c r="DE47" s="26" t="s">
        <v>6</v>
      </c>
      <c r="DI47" s="52"/>
      <c r="DN47" s="136" t="s">
        <v>7</v>
      </c>
      <c r="DO47" s="136"/>
      <c r="DP47" s="136" t="s">
        <v>8</v>
      </c>
      <c r="DQ47" s="136"/>
      <c r="DR47" s="28"/>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row>
    <row r="48" spans="1:170" ht="11.25" customHeight="1" x14ac:dyDescent="0.2">
      <c r="C48" s="2" t="str">
        <f>ß03</f>
        <v>Leverk.</v>
      </c>
      <c r="D48" s="3" t="s">
        <v>11</v>
      </c>
      <c r="E48" s="2" t="str">
        <f>ß11</f>
        <v>M'gladb.</v>
      </c>
      <c r="F48" s="29"/>
      <c r="G48" s="3" t="s">
        <v>12</v>
      </c>
      <c r="H48" s="30"/>
      <c r="I48" s="31"/>
      <c r="J48" s="32" t="str">
        <f t="shared" ref="J48:J56" si="47">IF($F48="","",(IF(I48="","",IF(I48=$DG48,(VLOOKUP($DH48,$DJ$3:$DK$11,2,FALSE())),0))))</f>
        <v/>
      </c>
      <c r="K48" s="31"/>
      <c r="L48" s="32" t="str">
        <f t="shared" ref="L48:L56" si="48">IF($F48="","",(IF(K48="","",IF(K48=$DG48,(VLOOKUP($DH48,$DJ$3:$DK$11,2,FALSE())),0))))</f>
        <v/>
      </c>
      <c r="M48" s="31"/>
      <c r="N48" s="32" t="str">
        <f t="shared" ref="N48:N56" si="49">IF($F48="","",(IF(M48="","",IF(M48=$DG48,(VLOOKUP($DH48,$DJ$3:$DK$11,2,FALSE())),0))))</f>
        <v/>
      </c>
      <c r="O48" s="31"/>
      <c r="P48" s="32" t="str">
        <f t="shared" ref="P48:P56" si="50">IF($F48="","",(IF(O48="","",IF(O48=$DG48,(VLOOKUP($DH48,$DJ$3:$DK$11,2,FALSE())),0))))</f>
        <v/>
      </c>
      <c r="Q48" s="31"/>
      <c r="R48" s="32" t="str">
        <f t="shared" ref="R48:R56" si="51">IF($F48="","",(IF(Q48="","",IF(Q48=$DG48,(VLOOKUP($DH48,$DJ$3:$DK$11,2,FALSE())),0))))</f>
        <v/>
      </c>
      <c r="S48" s="31"/>
      <c r="T48" s="32" t="str">
        <f t="shared" ref="T48:T56" si="52">IF($F48="","",(IF(S48="","",IF(S48=$DG48,(VLOOKUP($DH48,$DJ$3:$DK$11,2,FALSE())),0))))</f>
        <v/>
      </c>
      <c r="U48" s="31"/>
      <c r="V48" s="32" t="str">
        <f t="shared" ref="V48:V56" si="53">IF($F48="","",(IF(U48="","",IF(U48=$DG48,(VLOOKUP($DH48,$DJ$3:$DK$11,2,FALSE())),0))))</f>
        <v/>
      </c>
      <c r="AF48" s="34"/>
      <c r="AG48" s="34"/>
      <c r="AH48" s="34"/>
      <c r="AI48" s="34"/>
      <c r="AJ48" s="34"/>
      <c r="AN48" s="5"/>
      <c r="AO48" s="5"/>
      <c r="AP48" s="5"/>
      <c r="AQ48" s="5"/>
      <c r="AR48" s="5"/>
      <c r="AS48" s="13"/>
      <c r="AT48" s="5"/>
      <c r="AU48" s="5"/>
      <c r="AV48" s="5"/>
      <c r="AW48" s="5"/>
      <c r="AX48" s="5"/>
      <c r="AY48" s="5"/>
      <c r="BC48" s="6">
        <v>47</v>
      </c>
      <c r="BD48" s="35" t="str">
        <f>IF(ISERROR(MATCH(ß01,$C48:$C56,0)),"",MATCH(ß01,$C48:$C56,0))</f>
        <v/>
      </c>
      <c r="BE48" s="35">
        <f>IF(ISERROR(MATCH(ß01,$E48:$E56,0)),"",MATCH(ß01,$E48:$E56,0))</f>
        <v>8</v>
      </c>
      <c r="BF48" s="15">
        <f>SUM(BD48:BE48)+BC48</f>
        <v>55</v>
      </c>
      <c r="BG48" s="36">
        <f>IF(ISERROR(MATCH(ß02,$C48:$C56,0)),"",MATCH(ß02,$C48:$C56,0))</f>
        <v>4</v>
      </c>
      <c r="BH48" s="35" t="str">
        <f>IF(ISERROR(MATCH(ß02,$E48:$E56,0)),"",MATCH(ß02,$E48:$E56,0))</f>
        <v/>
      </c>
      <c r="BI48" s="15">
        <f>SUM(BG48:BH48)+BC48</f>
        <v>51</v>
      </c>
      <c r="BJ48" s="36">
        <f>IF(ISERROR(MATCH(ß03,$C48:$C56,0)),"",MATCH(ß03,$C48:$C56,0))</f>
        <v>1</v>
      </c>
      <c r="BK48" s="35" t="str">
        <f>IF(ISERROR(MATCH(ß03,$E48:$E56,0)),"",MATCH(ß03,$E48:$E56,0))</f>
        <v/>
      </c>
      <c r="BL48" s="15">
        <f>SUM(BJ48:BK48)+BC48</f>
        <v>48</v>
      </c>
      <c r="BM48" s="36">
        <f>IF(ISERROR(MATCH(ß04,$C48:$C56,0)),"",MATCH(ß04,$C48:$C56,0))</f>
        <v>8</v>
      </c>
      <c r="BN48" s="35" t="str">
        <f>IF(ISERROR(MATCH(ß04,$E48:$E56,0)),"",MATCH(ß04,$E48:$E56,0))</f>
        <v/>
      </c>
      <c r="BO48" s="15">
        <f>SUM(BM48:BN48)+BC48</f>
        <v>55</v>
      </c>
      <c r="BP48" s="36">
        <f>IF(ISERROR(MATCH(ß05,$C48:$C56,0)),"",MATCH(ß05,$C48:$C56,0))</f>
        <v>2</v>
      </c>
      <c r="BQ48" s="35" t="str">
        <f>IF(ISERROR(MATCH(ß05,$E48:$E56,0)),"",MATCH(ß05,$E48:$E56,0))</f>
        <v/>
      </c>
      <c r="BR48" s="15">
        <f>SUM(BP48:BQ48)+BC48</f>
        <v>49</v>
      </c>
      <c r="BS48" s="36">
        <f>IF(ISERROR(MATCH(ß06,$C48:$C56,0)),"",MATCH(ß06,$C48:$C56,0))</f>
        <v>5</v>
      </c>
      <c r="BT48" s="35" t="str">
        <f>IF(ISERROR(MATCH(ß06,$E48:$E56,0)),"",MATCH(ß06,$E48:$E56,0))</f>
        <v/>
      </c>
      <c r="BU48" s="15">
        <f>SUM(BS48:BT48)+BC48</f>
        <v>52</v>
      </c>
      <c r="BV48" s="36" t="str">
        <f>IF(ISERROR(MATCH(ß07,$C48:$C56,0)),"",MATCH(ß07,$C48:$C56,0))</f>
        <v/>
      </c>
      <c r="BW48" s="35">
        <f>IF(ISERROR(MATCH(ß07,$E48:$E56,0)),"",MATCH(ß07,$E48:$E56,0))</f>
        <v>5</v>
      </c>
      <c r="BX48" s="15">
        <f>SUM(BV48:BW48)+BC48</f>
        <v>52</v>
      </c>
      <c r="BY48" s="36">
        <f>IF(ISERROR(MATCH(ß08,$C48:$C56,0)),"",MATCH(ß08,$C48:$C56,0))</f>
        <v>7</v>
      </c>
      <c r="BZ48" s="35" t="str">
        <f>IF(ISERROR(MATCH(ß08,$E48:$E56,0)),"",MATCH(ß08,$E48:$E56,0))</f>
        <v/>
      </c>
      <c r="CA48" s="15">
        <f>SUM(BY48:BZ48)+BC48</f>
        <v>54</v>
      </c>
      <c r="CB48" s="36" t="str">
        <f>IF(ISERROR(MATCH(ß09,$C48:$C56,0)),"",MATCH(ß09,$C48:$C56,0))</f>
        <v/>
      </c>
      <c r="CC48" s="35">
        <f>IF(ISERROR(MATCH(ß09,$E48:$E56,0)),"",MATCH(ß09,$E48:$E56,0))</f>
        <v>7</v>
      </c>
      <c r="CD48" s="15">
        <f>SUM(CB48:CC48)+BC48</f>
        <v>54</v>
      </c>
      <c r="CE48" s="36" t="str">
        <f>IF(ISERROR(MATCH(ß10,$C48:$C56,0)),"",MATCH(ß10,$C48:$C56,0))</f>
        <v/>
      </c>
      <c r="CF48" s="35">
        <f>IF(ISERROR(MATCH(ß10,$E48:$E56,0)),"",MATCH(ß10,$E48:$E56,0))</f>
        <v>4</v>
      </c>
      <c r="CG48" s="15">
        <f>SUM(CE48:CF48)+BC48</f>
        <v>51</v>
      </c>
      <c r="CH48" s="36" t="str">
        <f>IF(ISERROR(MATCH(ß11,$C48:$C56,0)),"",MATCH(ß11,$C48:$C56,0))</f>
        <v/>
      </c>
      <c r="CI48" s="35">
        <f>IF(ISERROR(MATCH(ß11,$E48:$E56,0)),"",MATCH(ß11,$E48:$E56,0))</f>
        <v>1</v>
      </c>
      <c r="CJ48" s="15">
        <f>SUM(CH48:CI48)+BC48</f>
        <v>48</v>
      </c>
      <c r="CK48" s="36">
        <f>IF(ISERROR(MATCH(ß12,$C48:$C56,0)),"",MATCH(ß12,$C48:$C56,0))</f>
        <v>9</v>
      </c>
      <c r="CL48" s="35" t="str">
        <f>IF(ISERROR(MATCH(ß12,$E48:$E56,0)),"",MATCH(ß12,$E48:$E56,0))</f>
        <v/>
      </c>
      <c r="CM48" s="15">
        <f>SUM(CK48:CL48)+BC48</f>
        <v>56</v>
      </c>
      <c r="CN48" s="36" t="str">
        <f>IF(ISERROR(MATCH(ß13,$C48:$C56,0)),"",MATCH(ß13,$C48:$C56,0))</f>
        <v/>
      </c>
      <c r="CO48" s="35">
        <f>IF(ISERROR(MATCH(ß13,$E48:$E56,0)),"",MATCH(ß13,$E48:$E56,0))</f>
        <v>2</v>
      </c>
      <c r="CP48" s="15">
        <f>SUM(CN48:CO48)+BC48</f>
        <v>49</v>
      </c>
      <c r="CQ48" s="36">
        <f>IF(ISERROR(MATCH(ß14,$C48:$C56,0)),"",MATCH(ß14,$C48:$C56,0))</f>
        <v>6</v>
      </c>
      <c r="CR48" s="35" t="str">
        <f>IF(ISERROR(MATCH(ß14,$E48:$E56,0)),"",MATCH(ß14,$E48:$E56,0))</f>
        <v/>
      </c>
      <c r="CS48" s="15">
        <f>SUM(CQ48:CR48)+BC48</f>
        <v>53</v>
      </c>
      <c r="CT48" s="36" t="str">
        <f>IF(ISERROR(MATCH(ß15,$C48:$C56,0)),"",MATCH(ß15,$C48:$C56,0))</f>
        <v/>
      </c>
      <c r="CU48" s="35">
        <f>IF(ISERROR(MATCH(ß15,$E48:$E56,0)),"",MATCH(ß15,$E48:$E56,0))</f>
        <v>6</v>
      </c>
      <c r="CV48" s="15">
        <f>SUM(CT48:CU48)+BC48</f>
        <v>53</v>
      </c>
      <c r="CW48" s="36">
        <f>IF(ISERROR(MATCH(ß16,$C48:$C56,0)),"",MATCH(ß16,$C48:$C56,0))</f>
        <v>3</v>
      </c>
      <c r="CX48" s="35" t="str">
        <f>IF(ISERROR(MATCH(ß16,$E48:$E56,0)),"",MATCH(ß16,$E48:$E56,0))</f>
        <v/>
      </c>
      <c r="CY48" s="15">
        <f>SUM(CW48:CX48)+BC48</f>
        <v>50</v>
      </c>
      <c r="CZ48" s="36" t="str">
        <f>IF(ISERROR(MATCH(ß17,$C48:$C56,0)),"",MATCH(ß17,$C48:$C56,0))</f>
        <v/>
      </c>
      <c r="DA48" s="35">
        <f>IF(ISERROR(MATCH(ß17,$E48:$E56,0)),"",MATCH(ß17,$E48:$E56,0))</f>
        <v>9</v>
      </c>
      <c r="DB48" s="15">
        <f>SUM(CZ48:DA48)+BC48</f>
        <v>56</v>
      </c>
      <c r="DC48" s="36" t="str">
        <f>IF(ISERROR(MATCH(ß18,$C48:$C56,0)),"",MATCH(ß18,$C48:$C56,0))</f>
        <v/>
      </c>
      <c r="DD48" s="35">
        <f>IF(ISERROR(MATCH(ß18,$E48:$E56,0)),"",MATCH(ß18,$E48:$E56,0))</f>
        <v>3</v>
      </c>
      <c r="DE48" s="15">
        <f>SUM(DC48:DD48)+BC48</f>
        <v>50</v>
      </c>
      <c r="DG48" s="8" t="str">
        <f t="shared" ref="DG48:DG56" si="54">IF(F48="","",(IF(F48=H48,0,IF(F48&gt;H48,1,IF(F48&lt;H48,2)))))</f>
        <v/>
      </c>
      <c r="DH48" s="3">
        <f>COUNTIF(I48,DG48)+COUNTIF(K48,DG48)+COUNTIF(M48,DG48)+COUNTIF(O48,DG48)+COUNTIF(Q48,DG48)+COUNTIF(S48,DG48)+COUNTIF(U48,DG48)</f>
        <v>7</v>
      </c>
      <c r="DN48" s="12">
        <f t="shared" ref="DN48:DN56" si="55">F48</f>
        <v>0</v>
      </c>
      <c r="DO48" s="5">
        <f t="shared" ref="DO48:DO56" si="56">H48</f>
        <v>0</v>
      </c>
      <c r="DP48" s="5" t="str">
        <f t="shared" ref="DP48:DP56" si="57">IF($F48="","",IF(DN48&gt;DO48,3,IF(DN48&lt;DO48,0,1)))</f>
        <v/>
      </c>
      <c r="DQ48" s="5" t="str">
        <f t="shared" ref="DQ48:DQ56" si="58">IF($H48="","",IF(DO48&gt;DN48,3,IF(DO48&lt;DN48,0,1)))</f>
        <v/>
      </c>
      <c r="DR48" s="5">
        <f t="shared" ref="DR48:DR56" si="59">IF(ISBLANK(F48),0,1)</f>
        <v>0</v>
      </c>
    </row>
    <row r="49" spans="1:170" ht="11.25" customHeight="1" x14ac:dyDescent="0.2">
      <c r="C49" s="2" t="str">
        <f>ß05</f>
        <v>Frankfurt</v>
      </c>
      <c r="D49" s="3" t="s">
        <v>11</v>
      </c>
      <c r="E49" s="2" t="str">
        <f>ß13</f>
        <v>Union</v>
      </c>
      <c r="F49" s="29"/>
      <c r="G49" s="3" t="s">
        <v>12</v>
      </c>
      <c r="H49" s="30"/>
      <c r="I49" s="37"/>
      <c r="J49" s="38" t="str">
        <f t="shared" si="47"/>
        <v/>
      </c>
      <c r="K49" s="37"/>
      <c r="L49" s="38" t="str">
        <f t="shared" si="48"/>
        <v/>
      </c>
      <c r="M49" s="37"/>
      <c r="N49" s="38" t="str">
        <f t="shared" si="49"/>
        <v/>
      </c>
      <c r="O49" s="37"/>
      <c r="P49" s="38" t="str">
        <f t="shared" si="50"/>
        <v/>
      </c>
      <c r="Q49" s="37"/>
      <c r="R49" s="38" t="str">
        <f t="shared" si="51"/>
        <v/>
      </c>
      <c r="S49" s="37"/>
      <c r="T49" s="38" t="str">
        <f t="shared" si="52"/>
        <v/>
      </c>
      <c r="U49" s="37"/>
      <c r="V49" s="38" t="str">
        <f t="shared" si="53"/>
        <v/>
      </c>
      <c r="AF49" s="34"/>
      <c r="AG49" s="34"/>
      <c r="AH49" s="34"/>
      <c r="AI49" s="34"/>
      <c r="AJ49" s="34"/>
      <c r="DG49" s="8" t="str">
        <f t="shared" si="54"/>
        <v/>
      </c>
      <c r="DH49" s="3">
        <f t="shared" ref="DH49:DH56" si="60">COUNTIF(I49,DG49)+COUNTIF(K49,DG49)+COUNTIF(M49,DG49)+COUNTIF(O49,DG49)+COUNTIF(Q49,DG49)+COUNTIF(S49,DG49)+COUNTIF(U49,DG49)</f>
        <v>7</v>
      </c>
      <c r="DN49" s="12">
        <f t="shared" si="55"/>
        <v>0</v>
      </c>
      <c r="DO49" s="5">
        <f t="shared" si="56"/>
        <v>0</v>
      </c>
      <c r="DP49" s="5" t="str">
        <f t="shared" si="57"/>
        <v/>
      </c>
      <c r="DQ49" s="5" t="str">
        <f t="shared" si="58"/>
        <v/>
      </c>
      <c r="DR49" s="5">
        <f t="shared" si="59"/>
        <v>0</v>
      </c>
    </row>
    <row r="50" spans="1:170" ht="11.25" customHeight="1" x14ac:dyDescent="0.2">
      <c r="C50" s="2" t="str">
        <f>ß16</f>
        <v>Dortmund</v>
      </c>
      <c r="D50" s="3" t="s">
        <v>11</v>
      </c>
      <c r="E50" s="2" t="str">
        <f>ß18</f>
        <v>Wolfsburg</v>
      </c>
      <c r="F50" s="29"/>
      <c r="G50" s="3" t="s">
        <v>12</v>
      </c>
      <c r="H50" s="30"/>
      <c r="I50" s="37"/>
      <c r="J50" s="38" t="str">
        <f t="shared" si="47"/>
        <v/>
      </c>
      <c r="K50" s="37"/>
      <c r="L50" s="38" t="str">
        <f t="shared" si="48"/>
        <v/>
      </c>
      <c r="M50" s="37"/>
      <c r="N50" s="38" t="str">
        <f t="shared" si="49"/>
        <v/>
      </c>
      <c r="O50" s="37"/>
      <c r="P50" s="38" t="str">
        <f t="shared" si="50"/>
        <v/>
      </c>
      <c r="Q50" s="37"/>
      <c r="R50" s="38" t="str">
        <f t="shared" si="51"/>
        <v/>
      </c>
      <c r="S50" s="37"/>
      <c r="T50" s="38" t="str">
        <f t="shared" si="52"/>
        <v/>
      </c>
      <c r="U50" s="37"/>
      <c r="V50" s="38" t="str">
        <f t="shared" si="53"/>
        <v/>
      </c>
      <c r="AF50" s="34"/>
      <c r="AG50" s="34"/>
      <c r="AH50" s="34"/>
      <c r="AI50" s="34"/>
      <c r="AJ50" s="34"/>
      <c r="DG50" s="8" t="str">
        <f t="shared" si="54"/>
        <v/>
      </c>
      <c r="DH50" s="3">
        <f t="shared" si="60"/>
        <v>7</v>
      </c>
      <c r="DN50" s="12">
        <f t="shared" si="55"/>
        <v>0</v>
      </c>
      <c r="DO50" s="5">
        <f t="shared" si="56"/>
        <v>0</v>
      </c>
      <c r="DP50" s="5" t="str">
        <f t="shared" si="57"/>
        <v/>
      </c>
      <c r="DQ50" s="5" t="str">
        <f t="shared" si="58"/>
        <v/>
      </c>
      <c r="DR50" s="5">
        <f t="shared" si="59"/>
        <v>0</v>
      </c>
    </row>
    <row r="51" spans="1:170" ht="11.25" customHeight="1" x14ac:dyDescent="0.2">
      <c r="C51" s="2" t="str">
        <f>ß02</f>
        <v>Leipzig</v>
      </c>
      <c r="D51" s="3" t="s">
        <v>11</v>
      </c>
      <c r="E51" s="2" t="str">
        <f>ß10</f>
        <v>Köln</v>
      </c>
      <c r="F51" s="29"/>
      <c r="G51" s="3" t="s">
        <v>12</v>
      </c>
      <c r="H51" s="30"/>
      <c r="I51" s="37"/>
      <c r="J51" s="38" t="str">
        <f t="shared" si="47"/>
        <v/>
      </c>
      <c r="K51" s="37"/>
      <c r="L51" s="38" t="str">
        <f t="shared" si="48"/>
        <v/>
      </c>
      <c r="M51" s="37"/>
      <c r="N51" s="38" t="str">
        <f t="shared" si="49"/>
        <v/>
      </c>
      <c r="O51" s="37"/>
      <c r="P51" s="38" t="str">
        <f t="shared" si="50"/>
        <v/>
      </c>
      <c r="Q51" s="37"/>
      <c r="R51" s="38" t="str">
        <f t="shared" si="51"/>
        <v/>
      </c>
      <c r="S51" s="37"/>
      <c r="T51" s="38" t="str">
        <f t="shared" si="52"/>
        <v/>
      </c>
      <c r="U51" s="37"/>
      <c r="V51" s="38" t="str">
        <f t="shared" si="53"/>
        <v/>
      </c>
      <c r="AF51" s="34"/>
      <c r="AG51" s="34"/>
      <c r="AH51" s="34"/>
      <c r="AI51" s="34"/>
      <c r="AJ51" s="34"/>
      <c r="DG51" s="8" t="str">
        <f t="shared" si="54"/>
        <v/>
      </c>
      <c r="DH51" s="3">
        <f t="shared" si="60"/>
        <v>7</v>
      </c>
      <c r="DN51" s="12">
        <f t="shared" si="55"/>
        <v>0</v>
      </c>
      <c r="DO51" s="5">
        <f t="shared" si="56"/>
        <v>0</v>
      </c>
      <c r="DP51" s="5" t="str">
        <f t="shared" si="57"/>
        <v/>
      </c>
      <c r="DQ51" s="5" t="str">
        <f t="shared" si="58"/>
        <v/>
      </c>
      <c r="DR51" s="5">
        <f t="shared" si="59"/>
        <v>0</v>
      </c>
    </row>
    <row r="52" spans="1:170" ht="11.25" customHeight="1" x14ac:dyDescent="0.2">
      <c r="C52" s="2" t="str">
        <f>ß06</f>
        <v>Werder</v>
      </c>
      <c r="D52" s="3" t="s">
        <v>11</v>
      </c>
      <c r="E52" s="2" t="str">
        <f>ß07</f>
        <v>Freiburg</v>
      </c>
      <c r="F52" s="29"/>
      <c r="G52" s="3" t="s">
        <v>12</v>
      </c>
      <c r="H52" s="30"/>
      <c r="I52" s="37"/>
      <c r="J52" s="38" t="str">
        <f t="shared" si="47"/>
        <v/>
      </c>
      <c r="K52" s="37"/>
      <c r="L52" s="38" t="str">
        <f t="shared" si="48"/>
        <v/>
      </c>
      <c r="M52" s="37"/>
      <c r="N52" s="38" t="str">
        <f t="shared" si="49"/>
        <v/>
      </c>
      <c r="O52" s="37"/>
      <c r="P52" s="38" t="str">
        <f t="shared" si="50"/>
        <v/>
      </c>
      <c r="Q52" s="37"/>
      <c r="R52" s="38" t="str">
        <f t="shared" si="51"/>
        <v/>
      </c>
      <c r="S52" s="37"/>
      <c r="T52" s="38" t="str">
        <f t="shared" si="52"/>
        <v/>
      </c>
      <c r="U52" s="37"/>
      <c r="V52" s="38" t="str">
        <f t="shared" si="53"/>
        <v/>
      </c>
      <c r="AF52" s="34"/>
      <c r="AG52" s="34"/>
      <c r="AH52" s="34"/>
      <c r="AI52" s="34"/>
      <c r="AJ52" s="34"/>
      <c r="DG52" s="8" t="str">
        <f t="shared" si="54"/>
        <v/>
      </c>
      <c r="DH52" s="3">
        <f t="shared" si="60"/>
        <v>7</v>
      </c>
      <c r="DN52" s="12">
        <f t="shared" si="55"/>
        <v>0</v>
      </c>
      <c r="DO52" s="5">
        <f t="shared" si="56"/>
        <v>0</v>
      </c>
      <c r="DP52" s="5" t="str">
        <f t="shared" si="57"/>
        <v/>
      </c>
      <c r="DQ52" s="5" t="str">
        <f t="shared" si="58"/>
        <v/>
      </c>
      <c r="DR52" s="5">
        <f t="shared" si="59"/>
        <v>0</v>
      </c>
    </row>
    <row r="53" spans="1:170" ht="11.25" customHeight="1" x14ac:dyDescent="0.2">
      <c r="C53" s="2" t="str">
        <f>ß14</f>
        <v>Stuttgart</v>
      </c>
      <c r="D53" s="3" t="s">
        <v>11</v>
      </c>
      <c r="E53" s="2" t="str">
        <f>ß15</f>
        <v>St. Pauli</v>
      </c>
      <c r="F53" s="29"/>
      <c r="G53" s="3" t="s">
        <v>12</v>
      </c>
      <c r="H53" s="30"/>
      <c r="I53" s="37"/>
      <c r="J53" s="38" t="str">
        <f t="shared" si="47"/>
        <v/>
      </c>
      <c r="K53" s="37"/>
      <c r="L53" s="38" t="str">
        <f t="shared" si="48"/>
        <v/>
      </c>
      <c r="M53" s="37"/>
      <c r="N53" s="38" t="str">
        <f t="shared" si="49"/>
        <v/>
      </c>
      <c r="O53" s="37"/>
      <c r="P53" s="38" t="str">
        <f t="shared" si="50"/>
        <v/>
      </c>
      <c r="Q53" s="37"/>
      <c r="R53" s="38" t="str">
        <f t="shared" si="51"/>
        <v/>
      </c>
      <c r="S53" s="37"/>
      <c r="T53" s="38" t="str">
        <f t="shared" si="52"/>
        <v/>
      </c>
      <c r="U53" s="37"/>
      <c r="V53" s="38" t="str">
        <f t="shared" si="53"/>
        <v/>
      </c>
      <c r="AF53" s="34"/>
      <c r="AG53" s="34"/>
      <c r="AH53" s="34"/>
      <c r="AI53" s="34"/>
      <c r="AJ53" s="34"/>
      <c r="DG53" s="8" t="str">
        <f t="shared" si="54"/>
        <v/>
      </c>
      <c r="DH53" s="3">
        <f t="shared" si="60"/>
        <v>7</v>
      </c>
      <c r="DN53" s="12">
        <f t="shared" si="55"/>
        <v>0</v>
      </c>
      <c r="DO53" s="5">
        <f t="shared" si="56"/>
        <v>0</v>
      </c>
      <c r="DP53" s="5" t="str">
        <f t="shared" si="57"/>
        <v/>
      </c>
      <c r="DQ53" s="5" t="str">
        <f t="shared" si="58"/>
        <v/>
      </c>
      <c r="DR53" s="5">
        <f t="shared" si="59"/>
        <v>0</v>
      </c>
    </row>
    <row r="54" spans="1:170" ht="11.25" customHeight="1" x14ac:dyDescent="0.2">
      <c r="C54" s="2" t="str">
        <f>ß08</f>
        <v>Augsburg</v>
      </c>
      <c r="D54" s="3" t="s">
        <v>11</v>
      </c>
      <c r="E54" s="2" t="str">
        <f>ß09</f>
        <v>Mainz</v>
      </c>
      <c r="F54" s="29"/>
      <c r="G54" s="3" t="s">
        <v>12</v>
      </c>
      <c r="H54" s="30"/>
      <c r="I54" s="37"/>
      <c r="J54" s="38" t="str">
        <f t="shared" si="47"/>
        <v/>
      </c>
      <c r="K54" s="37"/>
      <c r="L54" s="38" t="str">
        <f t="shared" si="48"/>
        <v/>
      </c>
      <c r="M54" s="37"/>
      <c r="N54" s="38" t="str">
        <f t="shared" si="49"/>
        <v/>
      </c>
      <c r="O54" s="37"/>
      <c r="P54" s="38" t="str">
        <f t="shared" si="50"/>
        <v/>
      </c>
      <c r="Q54" s="37"/>
      <c r="R54" s="38" t="str">
        <f t="shared" si="51"/>
        <v/>
      </c>
      <c r="S54" s="37"/>
      <c r="T54" s="38" t="str">
        <f t="shared" si="52"/>
        <v/>
      </c>
      <c r="U54" s="37"/>
      <c r="V54" s="38" t="str">
        <f t="shared" si="53"/>
        <v/>
      </c>
      <c r="AF54" s="34"/>
      <c r="AG54" s="34"/>
      <c r="AH54" s="34"/>
      <c r="AI54" s="34"/>
      <c r="AJ54" s="34"/>
      <c r="DG54" s="8" t="str">
        <f t="shared" si="54"/>
        <v/>
      </c>
      <c r="DH54" s="3">
        <f t="shared" si="60"/>
        <v>7</v>
      </c>
      <c r="DN54" s="12">
        <f t="shared" si="55"/>
        <v>0</v>
      </c>
      <c r="DO54" s="5">
        <f t="shared" si="56"/>
        <v>0</v>
      </c>
      <c r="DP54" s="5" t="str">
        <f t="shared" si="57"/>
        <v/>
      </c>
      <c r="DQ54" s="5" t="str">
        <f t="shared" si="58"/>
        <v/>
      </c>
      <c r="DR54" s="5">
        <f t="shared" si="59"/>
        <v>0</v>
      </c>
    </row>
    <row r="55" spans="1:170" ht="11.25" customHeight="1" x14ac:dyDescent="0.2">
      <c r="C55" s="2" t="str">
        <f>ß04</f>
        <v>Hoffenheim</v>
      </c>
      <c r="D55" s="3" t="s">
        <v>11</v>
      </c>
      <c r="E55" s="2" t="str">
        <f>ß01</f>
        <v>Bayern</v>
      </c>
      <c r="F55" s="29"/>
      <c r="G55" s="3" t="s">
        <v>12</v>
      </c>
      <c r="H55" s="30"/>
      <c r="I55" s="37"/>
      <c r="J55" s="38" t="str">
        <f t="shared" si="47"/>
        <v/>
      </c>
      <c r="K55" s="37"/>
      <c r="L55" s="38" t="str">
        <f t="shared" si="48"/>
        <v/>
      </c>
      <c r="M55" s="37"/>
      <c r="N55" s="38" t="str">
        <f t="shared" si="49"/>
        <v/>
      </c>
      <c r="O55" s="37"/>
      <c r="P55" s="38" t="str">
        <f t="shared" si="50"/>
        <v/>
      </c>
      <c r="Q55" s="37"/>
      <c r="R55" s="38" t="str">
        <f t="shared" si="51"/>
        <v/>
      </c>
      <c r="S55" s="37"/>
      <c r="T55" s="38" t="str">
        <f t="shared" si="52"/>
        <v/>
      </c>
      <c r="U55" s="37"/>
      <c r="V55" s="38" t="str">
        <f t="shared" si="53"/>
        <v/>
      </c>
      <c r="AF55" s="34"/>
      <c r="AG55" s="34"/>
      <c r="AH55" s="34"/>
      <c r="AI55" s="34"/>
      <c r="AJ55" s="34"/>
      <c r="DG55" s="8" t="str">
        <f t="shared" si="54"/>
        <v/>
      </c>
      <c r="DH55" s="3">
        <f t="shared" si="60"/>
        <v>7</v>
      </c>
      <c r="DN55" s="12">
        <f t="shared" si="55"/>
        <v>0</v>
      </c>
      <c r="DO55" s="5">
        <f t="shared" si="56"/>
        <v>0</v>
      </c>
      <c r="DP55" s="5" t="str">
        <f t="shared" si="57"/>
        <v/>
      </c>
      <c r="DQ55" s="5" t="str">
        <f t="shared" si="58"/>
        <v/>
      </c>
      <c r="DR55" s="5">
        <f t="shared" si="59"/>
        <v>0</v>
      </c>
    </row>
    <row r="56" spans="1:170" ht="11.25" customHeight="1" thickBot="1" x14ac:dyDescent="0.25">
      <c r="C56" s="2" t="str">
        <f>ß12</f>
        <v>HSV</v>
      </c>
      <c r="D56" s="3" t="s">
        <v>11</v>
      </c>
      <c r="E56" s="2" t="str">
        <f>ß17</f>
        <v>Heidenheim</v>
      </c>
      <c r="F56" s="29"/>
      <c r="G56" s="3" t="s">
        <v>12</v>
      </c>
      <c r="H56" s="30"/>
      <c r="I56" s="37"/>
      <c r="J56" s="38" t="str">
        <f t="shared" si="47"/>
        <v/>
      </c>
      <c r="K56" s="37"/>
      <c r="L56" s="38" t="str">
        <f t="shared" si="48"/>
        <v/>
      </c>
      <c r="M56" s="37"/>
      <c r="N56" s="38" t="str">
        <f t="shared" si="49"/>
        <v/>
      </c>
      <c r="O56" s="37"/>
      <c r="P56" s="38" t="str">
        <f t="shared" si="50"/>
        <v/>
      </c>
      <c r="Q56" s="37"/>
      <c r="R56" s="38" t="str">
        <f t="shared" si="51"/>
        <v/>
      </c>
      <c r="S56" s="37"/>
      <c r="T56" s="38" t="str">
        <f t="shared" si="52"/>
        <v/>
      </c>
      <c r="U56" s="37"/>
      <c r="V56" s="38" t="str">
        <f t="shared" si="53"/>
        <v/>
      </c>
      <c r="AF56" s="34"/>
      <c r="AG56" s="34"/>
      <c r="AH56" s="34"/>
      <c r="AI56" s="34"/>
      <c r="AJ56" s="34"/>
      <c r="DG56" s="8" t="str">
        <f t="shared" si="54"/>
        <v/>
      </c>
      <c r="DH56" s="3">
        <f t="shared" si="60"/>
        <v>7</v>
      </c>
      <c r="DN56" s="12">
        <f t="shared" si="55"/>
        <v>0</v>
      </c>
      <c r="DO56" s="5">
        <f t="shared" si="56"/>
        <v>0</v>
      </c>
      <c r="DP56" s="5" t="str">
        <f t="shared" si="57"/>
        <v/>
      </c>
      <c r="DQ56" s="5" t="str">
        <f t="shared" si="58"/>
        <v/>
      </c>
      <c r="DR56" s="5">
        <f t="shared" si="59"/>
        <v>0</v>
      </c>
    </row>
    <row r="57" spans="1:170" ht="11.25" customHeight="1" thickTop="1" x14ac:dyDescent="0.2">
      <c r="C57" s="41">
        <f>(I57+K57+M57+O57+Q57+S57+U57)</f>
        <v>0</v>
      </c>
      <c r="E57" s="42">
        <f>C57/8</f>
        <v>0</v>
      </c>
      <c r="F57" s="41">
        <f>SUM(F48:F56)</f>
        <v>0</v>
      </c>
      <c r="G57" s="2"/>
      <c r="H57" s="43">
        <f>SUM(H48:H56)</f>
        <v>0</v>
      </c>
      <c r="I57" s="44">
        <f>COUNTIF(J48:J56,"&gt;0")</f>
        <v>0</v>
      </c>
      <c r="J57" s="45">
        <f>I57+J42</f>
        <v>0</v>
      </c>
      <c r="K57" s="44">
        <f>COUNTIF(L48:L56,"&gt;0")</f>
        <v>0</v>
      </c>
      <c r="L57" s="45">
        <f>K57+L42</f>
        <v>0</v>
      </c>
      <c r="M57" s="44">
        <f>COUNTIF(N48:N56,"&gt;0")</f>
        <v>0</v>
      </c>
      <c r="N57" s="45">
        <f>M57+N42</f>
        <v>0</v>
      </c>
      <c r="O57" s="44">
        <f>COUNTIF(P48:P56,"&gt;0")</f>
        <v>0</v>
      </c>
      <c r="P57" s="45">
        <f>O57+P42</f>
        <v>0</v>
      </c>
      <c r="Q57" s="44">
        <f>COUNTIF(R48:R56,"&gt;0")</f>
        <v>0</v>
      </c>
      <c r="R57" s="45">
        <f>Q57+R42</f>
        <v>0</v>
      </c>
      <c r="S57" s="44">
        <f>COUNTIF(T48:T56,"&gt;0")</f>
        <v>0</v>
      </c>
      <c r="T57" s="45">
        <f>S57+T42</f>
        <v>0</v>
      </c>
      <c r="U57" s="44">
        <f>COUNTIF(V48:V56,"&gt;0")</f>
        <v>0</v>
      </c>
      <c r="V57" s="45">
        <f>U57+V42</f>
        <v>0</v>
      </c>
      <c r="AF57" s="34"/>
      <c r="AG57" s="34"/>
      <c r="AH57" s="34"/>
      <c r="AI57" s="34"/>
      <c r="AJ57" s="34"/>
      <c r="DN57" s="12"/>
    </row>
    <row r="58" spans="1:170" ht="11.25" customHeight="1" x14ac:dyDescent="0.2">
      <c r="C58" s="41">
        <f>(I58+K58+M58+O58+Q58+S58+U58)</f>
        <v>0</v>
      </c>
      <c r="E58" s="42">
        <f>C58/8</f>
        <v>0</v>
      </c>
      <c r="F58" s="137">
        <f>F57+H57</f>
        <v>0</v>
      </c>
      <c r="G58" s="137"/>
      <c r="H58" s="137"/>
      <c r="I58" s="46">
        <f>SUM(J48:J56)</f>
        <v>0</v>
      </c>
      <c r="J58" s="47">
        <f>I58+J43</f>
        <v>0</v>
      </c>
      <c r="K58" s="46">
        <f>SUM(L48:L56)</f>
        <v>0</v>
      </c>
      <c r="L58" s="47">
        <f>K58+L43</f>
        <v>0</v>
      </c>
      <c r="M58" s="46">
        <f>SUM(N48:N56)</f>
        <v>0</v>
      </c>
      <c r="N58" s="47">
        <f>M58+N43</f>
        <v>0</v>
      </c>
      <c r="O58" s="46">
        <f>SUM(P48:P56)</f>
        <v>0</v>
      </c>
      <c r="P58" s="47">
        <f>O58+P43</f>
        <v>0</v>
      </c>
      <c r="Q58" s="46">
        <f>SUM(R48:R56)</f>
        <v>0</v>
      </c>
      <c r="R58" s="47">
        <f>Q58+R43</f>
        <v>0</v>
      </c>
      <c r="S58" s="46">
        <f>SUM(T48:T56)</f>
        <v>0</v>
      </c>
      <c r="T58" s="47">
        <f>S58+T43</f>
        <v>0</v>
      </c>
      <c r="U58" s="46">
        <f>SUM(V48:V56)</f>
        <v>0</v>
      </c>
      <c r="V58" s="47">
        <f>U58+V43</f>
        <v>0</v>
      </c>
      <c r="AF58" s="34"/>
      <c r="AG58" s="34"/>
      <c r="AH58" s="34"/>
      <c r="AI58" s="34"/>
      <c r="AJ58" s="34"/>
      <c r="DN58" s="12"/>
    </row>
    <row r="59" spans="1:170" ht="11.25" customHeight="1" thickBot="1" x14ac:dyDescent="0.25">
      <c r="C59" s="41">
        <f>(I59+K59+M59+O59+Q59+S59+U59)</f>
        <v>0</v>
      </c>
      <c r="E59" s="42">
        <f>C59/8</f>
        <v>0</v>
      </c>
      <c r="F59" s="138">
        <f>F58+F44</f>
        <v>0</v>
      </c>
      <c r="G59" s="138"/>
      <c r="H59" s="138"/>
      <c r="I59" s="48">
        <f>I57*I58</f>
        <v>0</v>
      </c>
      <c r="J59" s="49">
        <f>I59+J44</f>
        <v>0</v>
      </c>
      <c r="K59" s="48">
        <f>K57*K58</f>
        <v>0</v>
      </c>
      <c r="L59" s="49">
        <f>K59+L44</f>
        <v>0</v>
      </c>
      <c r="M59" s="48">
        <f>M57*M58</f>
        <v>0</v>
      </c>
      <c r="N59" s="49">
        <f>M59+N44</f>
        <v>0</v>
      </c>
      <c r="O59" s="48">
        <f>O57*O58</f>
        <v>0</v>
      </c>
      <c r="P59" s="49">
        <f>O59+P44</f>
        <v>0</v>
      </c>
      <c r="Q59" s="48">
        <f>Q57*Q58</f>
        <v>0</v>
      </c>
      <c r="R59" s="49">
        <f>Q59+R44</f>
        <v>0</v>
      </c>
      <c r="S59" s="48">
        <f>S57*S58</f>
        <v>0</v>
      </c>
      <c r="T59" s="49">
        <f>S59+T44</f>
        <v>0</v>
      </c>
      <c r="U59" s="48">
        <f>U57*U58</f>
        <v>0</v>
      </c>
      <c r="V59" s="49">
        <f>U59+V44</f>
        <v>0</v>
      </c>
      <c r="AF59" s="34"/>
      <c r="AG59" s="34"/>
      <c r="AH59" s="34"/>
      <c r="AI59" s="34"/>
      <c r="AJ59" s="34"/>
      <c r="AL59" s="5">
        <f>MAX(I59,K59,M59,O59,Q59,S59,U59)</f>
        <v>0</v>
      </c>
      <c r="AM59" s="5">
        <f>MIN(I59,K59,M59,O59,Q59,S59,U59)</f>
        <v>0</v>
      </c>
      <c r="AN59" s="5"/>
      <c r="AO59" s="5"/>
      <c r="AP59" s="5"/>
      <c r="AQ59" s="5"/>
      <c r="AR59" s="5"/>
      <c r="AS59" s="13"/>
      <c r="AT59" s="5"/>
      <c r="AU59" s="5"/>
      <c r="AV59" s="5"/>
      <c r="AW59" s="5"/>
      <c r="AX59" s="5"/>
      <c r="AY59" s="5"/>
      <c r="AZ59" s="5"/>
      <c r="BA59" s="5"/>
      <c r="BB59" s="5"/>
      <c r="BD59" s="5"/>
      <c r="BE59" s="5"/>
      <c r="BF59" s="14"/>
      <c r="BG59" s="13"/>
      <c r="BH59" s="5"/>
      <c r="BI59" s="14"/>
      <c r="BJ59" s="13"/>
      <c r="BK59" s="5"/>
      <c r="BL59" s="14"/>
      <c r="BM59" s="13"/>
      <c r="BN59" s="5"/>
      <c r="BO59" s="14"/>
      <c r="BP59" s="13"/>
      <c r="BQ59" s="5"/>
      <c r="BR59" s="14"/>
      <c r="BS59" s="13"/>
      <c r="BT59" s="5"/>
      <c r="BU59" s="14"/>
      <c r="BV59" s="13"/>
      <c r="BW59" s="5"/>
      <c r="BX59" s="14"/>
      <c r="BY59" s="13"/>
      <c r="BZ59" s="5"/>
      <c r="CA59" s="14"/>
      <c r="CB59" s="13"/>
      <c r="CC59" s="5"/>
      <c r="CD59" s="14"/>
      <c r="CE59" s="13"/>
      <c r="CF59" s="5"/>
      <c r="CG59" s="14"/>
      <c r="CH59" s="13"/>
      <c r="CI59" s="5"/>
      <c r="CJ59" s="14"/>
      <c r="CK59" s="13"/>
      <c r="CL59" s="5"/>
      <c r="CM59" s="14"/>
      <c r="CN59" s="13"/>
      <c r="CO59" s="5"/>
      <c r="CP59" s="14"/>
      <c r="CQ59" s="13"/>
      <c r="CR59" s="5"/>
      <c r="CS59" s="14"/>
      <c r="CT59" s="13"/>
      <c r="CU59" s="5"/>
      <c r="CV59" s="14"/>
      <c r="CW59" s="13"/>
      <c r="CX59" s="5"/>
      <c r="CY59" s="14"/>
      <c r="CZ59" s="13"/>
      <c r="DA59" s="5"/>
      <c r="DB59" s="14"/>
      <c r="DC59" s="13"/>
      <c r="DD59" s="5"/>
      <c r="DE59" s="14"/>
      <c r="DF59" s="5"/>
      <c r="DG59" s="5"/>
      <c r="DH59" s="5"/>
      <c r="DN59" s="12"/>
    </row>
    <row r="60" spans="1:170" ht="11.25" customHeight="1" thickTop="1" x14ac:dyDescent="0.2">
      <c r="I60" s="50"/>
      <c r="J60" s="50">
        <f>L59-J59</f>
        <v>0</v>
      </c>
      <c r="K60" s="50"/>
      <c r="L60" s="50"/>
      <c r="M60" s="50"/>
      <c r="N60" s="50">
        <f>L59-N59</f>
        <v>0</v>
      </c>
      <c r="O60" s="50"/>
      <c r="P60" s="50">
        <f>L59-P59</f>
        <v>0</v>
      </c>
      <c r="Q60" s="50"/>
      <c r="R60" s="50">
        <f>L59-R59</f>
        <v>0</v>
      </c>
      <c r="S60" s="50"/>
      <c r="T60" s="50">
        <f>L59-T59</f>
        <v>0</v>
      </c>
      <c r="U60" s="50"/>
      <c r="V60" s="50">
        <f>L59-V59</f>
        <v>0</v>
      </c>
    </row>
    <row r="61" spans="1:170" ht="11.25" customHeight="1" x14ac:dyDescent="0.2">
      <c r="I61" s="139" t="str">
        <f>ß101</f>
        <v>Kropp</v>
      </c>
      <c r="J61" s="139"/>
      <c r="K61" s="139" t="str">
        <f>ß102</f>
        <v>Nörnberg</v>
      </c>
      <c r="L61" s="139"/>
      <c r="M61" s="139" t="str">
        <f>ß103</f>
        <v>Bübel</v>
      </c>
      <c r="N61" s="139"/>
      <c r="O61" s="139" t="str">
        <f>ß104</f>
        <v>Schwicht.</v>
      </c>
      <c r="P61" s="139"/>
      <c r="Q61" s="139" t="str">
        <f>ß105</f>
        <v>Rontzko.</v>
      </c>
      <c r="R61" s="139"/>
      <c r="S61" s="139" t="str">
        <f>ß106</f>
        <v>Hauschildt</v>
      </c>
      <c r="T61" s="139"/>
      <c r="U61" s="139" t="str">
        <f>ß107</f>
        <v>Zerres</v>
      </c>
      <c r="V61" s="139"/>
      <c r="AF61" s="11"/>
      <c r="AG61" s="11"/>
      <c r="AH61" s="11"/>
      <c r="AI61" s="11"/>
      <c r="AJ61" s="11"/>
      <c r="AL61" s="5" t="str">
        <f>IF($I74=$AL74,I61,"x")</f>
        <v>Kropp</v>
      </c>
      <c r="AM61" s="5" t="str">
        <f>IF($K74=$AL74,K61,"x")</f>
        <v>Nörnberg</v>
      </c>
      <c r="AN61" s="5" t="str">
        <f>IF($M74=$AL74,M61,"x")</f>
        <v>Bübel</v>
      </c>
      <c r="AO61" s="5" t="str">
        <f>IF($O74=$AL74,O61,"x")</f>
        <v>Schwicht.</v>
      </c>
      <c r="AP61" s="5" t="str">
        <f>IF($Q74=$AL74,Q61,"x")</f>
        <v>Rontzko.</v>
      </c>
      <c r="AQ61" s="5" t="str">
        <f>IF($S74=$AL74,S61,"x")</f>
        <v>Hauschildt</v>
      </c>
      <c r="AR61" s="5" t="str">
        <f>IF($U74=$AL74,U61,"x")</f>
        <v>Zerres</v>
      </c>
      <c r="AS61" s="13" t="str">
        <f>IF($I74=$AM74,I61,"x")</f>
        <v>Kropp</v>
      </c>
      <c r="AT61" s="5" t="str">
        <f>IF($K74=$AM74,K61,"x")</f>
        <v>Nörnberg</v>
      </c>
      <c r="AU61" s="5" t="str">
        <f>IF($M74=$AM74,M61,"x")</f>
        <v>Bübel</v>
      </c>
      <c r="AV61" s="5" t="str">
        <f>IF($O74=$AM74,O61,"x")</f>
        <v>Schwicht.</v>
      </c>
      <c r="AW61" s="5" t="str">
        <f>IF($Q74=$AM74,Q61,"x")</f>
        <v>Rontzko.</v>
      </c>
      <c r="AX61" s="5" t="str">
        <f>IF($S74=$AM74,S61,"x")</f>
        <v>Hauschildt</v>
      </c>
      <c r="AY61" s="5" t="str">
        <f>IF($U74=$AM74,U61,"x")</f>
        <v>Zerres</v>
      </c>
      <c r="BD61" s="140" t="str">
        <f>ß01</f>
        <v>Bayern</v>
      </c>
      <c r="BE61" s="140"/>
      <c r="BF61" s="140"/>
      <c r="BG61" s="141" t="str">
        <f>ß02</f>
        <v>Leipzig</v>
      </c>
      <c r="BH61" s="141"/>
      <c r="BI61" s="141"/>
      <c r="BJ61" s="141" t="str">
        <f>ß03</f>
        <v>Leverk.</v>
      </c>
      <c r="BK61" s="141"/>
      <c r="BL61" s="141"/>
      <c r="BM61" s="141" t="str">
        <f>ß04</f>
        <v>Hoffenheim</v>
      </c>
      <c r="BN61" s="141"/>
      <c r="BO61" s="141"/>
      <c r="BP61" s="141" t="str">
        <f>ß05</f>
        <v>Frankfurt</v>
      </c>
      <c r="BQ61" s="141"/>
      <c r="BR61" s="141"/>
      <c r="BS61" s="141" t="str">
        <f>ß06</f>
        <v>Werder</v>
      </c>
      <c r="BT61" s="141"/>
      <c r="BU61" s="141"/>
      <c r="BV61" s="141" t="str">
        <f>ß07</f>
        <v>Freiburg</v>
      </c>
      <c r="BW61" s="141"/>
      <c r="BX61" s="141"/>
      <c r="BY61" s="141" t="str">
        <f>ß08</f>
        <v>Augsburg</v>
      </c>
      <c r="BZ61" s="141"/>
      <c r="CA61" s="141"/>
      <c r="CB61" s="141" t="str">
        <f>ß09</f>
        <v>Mainz</v>
      </c>
      <c r="CC61" s="141"/>
      <c r="CD61" s="141"/>
      <c r="CE61" s="141" t="str">
        <f>ß10</f>
        <v>Köln</v>
      </c>
      <c r="CF61" s="141"/>
      <c r="CG61" s="141"/>
      <c r="CH61" s="141" t="str">
        <f>ß11</f>
        <v>M'gladb.</v>
      </c>
      <c r="CI61" s="141"/>
      <c r="CJ61" s="141"/>
      <c r="CK61" s="141" t="str">
        <f>ß12</f>
        <v>HSV</v>
      </c>
      <c r="CL61" s="141"/>
      <c r="CM61" s="141"/>
      <c r="CN61" s="141" t="str">
        <f>ß13</f>
        <v>Union</v>
      </c>
      <c r="CO61" s="141"/>
      <c r="CP61" s="141"/>
      <c r="CQ61" s="141" t="str">
        <f>ß14</f>
        <v>Stuttgart</v>
      </c>
      <c r="CR61" s="141"/>
      <c r="CS61" s="141"/>
      <c r="CT61" s="141" t="str">
        <f>ß15</f>
        <v>St. Pauli</v>
      </c>
      <c r="CU61" s="141"/>
      <c r="CV61" s="141"/>
      <c r="CW61" s="141" t="str">
        <f>ß16</f>
        <v>Dortmund</v>
      </c>
      <c r="CX61" s="141"/>
      <c r="CY61" s="141"/>
      <c r="CZ61" s="141" t="str">
        <f>ß17</f>
        <v>Heidenheim</v>
      </c>
      <c r="DA61" s="141"/>
      <c r="DB61" s="141"/>
      <c r="DC61" s="141" t="str">
        <f>ß18</f>
        <v>Wolfsburg</v>
      </c>
      <c r="DD61" s="141"/>
      <c r="DE61" s="141"/>
      <c r="DN61" s="12"/>
    </row>
    <row r="62" spans="1:170" s="21" customFormat="1" ht="11.25" customHeight="1" x14ac:dyDescent="0.2">
      <c r="A62" s="1"/>
      <c r="B62" s="1"/>
      <c r="C62" s="16" t="str">
        <f>Mannschaften!F5</f>
        <v>5. Spieltag</v>
      </c>
      <c r="D62" s="11"/>
      <c r="E62" s="17" t="str">
        <f>Mannschaften!G5</f>
        <v>26.-28.9.25</v>
      </c>
      <c r="F62" s="18"/>
      <c r="G62" s="11"/>
      <c r="H62" s="16"/>
      <c r="I62" s="19">
        <f>RANK(Rang!A5,Rang!A5:G5)</f>
        <v>1</v>
      </c>
      <c r="J62" s="20">
        <f>RANK(Rang!H5,Rang!H5:N5)</f>
        <v>1</v>
      </c>
      <c r="K62" s="19">
        <f>RANK(Rang!B5,Rang!A5:G5)</f>
        <v>1</v>
      </c>
      <c r="L62" s="20">
        <f>RANK(Rang!I5,Rang!H5:N5)</f>
        <v>1</v>
      </c>
      <c r="M62" s="19">
        <f>RANK(Rang!C5,Rang!A5:G5)</f>
        <v>1</v>
      </c>
      <c r="N62" s="20">
        <f>RANK(Rang!J5,Rang!H5:N5)</f>
        <v>1</v>
      </c>
      <c r="O62" s="19">
        <f>RANK(Rang!D5,Rang!A5:G5)</f>
        <v>1</v>
      </c>
      <c r="P62" s="20">
        <f>RANK(Rang!K5,Rang!H5:N5)</f>
        <v>1</v>
      </c>
      <c r="Q62" s="19">
        <f>RANK(Rang!E5,Rang!A5:G5)</f>
        <v>1</v>
      </c>
      <c r="R62" s="20">
        <f>RANK(Rang!L5,Rang!H5:N5)</f>
        <v>1</v>
      </c>
      <c r="S62" s="19">
        <f>RANK(Rang!F5,Rang!A5:G5)</f>
        <v>1</v>
      </c>
      <c r="T62" s="20">
        <f>RANK(Rang!M5,Rang!H5:N5)</f>
        <v>1</v>
      </c>
      <c r="U62" s="19">
        <f>RANK(Rang!G5,Rang!A5:G5)</f>
        <v>1</v>
      </c>
      <c r="V62" s="20">
        <f>RANK(Rang!N5,Rang!H5:N5)</f>
        <v>1</v>
      </c>
      <c r="AF62" s="22"/>
      <c r="AG62" s="22"/>
      <c r="AH62" s="22"/>
      <c r="AI62" s="22"/>
      <c r="AJ62" s="22"/>
      <c r="AS62" s="24"/>
      <c r="BC62" s="23"/>
      <c r="BD62" s="25" t="s">
        <v>4</v>
      </c>
      <c r="BE62" s="25" t="s">
        <v>5</v>
      </c>
      <c r="BF62" s="26" t="s">
        <v>6</v>
      </c>
      <c r="BG62" s="27" t="s">
        <v>4</v>
      </c>
      <c r="BH62" s="25" t="s">
        <v>5</v>
      </c>
      <c r="BI62" s="26" t="s">
        <v>6</v>
      </c>
      <c r="BJ62" s="27" t="s">
        <v>4</v>
      </c>
      <c r="BK62" s="25" t="s">
        <v>5</v>
      </c>
      <c r="BL62" s="26" t="s">
        <v>6</v>
      </c>
      <c r="BM62" s="27" t="s">
        <v>4</v>
      </c>
      <c r="BN62" s="25" t="s">
        <v>5</v>
      </c>
      <c r="BO62" s="26" t="s">
        <v>6</v>
      </c>
      <c r="BP62" s="27" t="s">
        <v>4</v>
      </c>
      <c r="BQ62" s="25" t="s">
        <v>5</v>
      </c>
      <c r="BR62" s="26" t="s">
        <v>6</v>
      </c>
      <c r="BS62" s="27" t="s">
        <v>4</v>
      </c>
      <c r="BT62" s="25" t="s">
        <v>5</v>
      </c>
      <c r="BU62" s="26" t="s">
        <v>6</v>
      </c>
      <c r="BV62" s="27" t="s">
        <v>4</v>
      </c>
      <c r="BW62" s="25" t="s">
        <v>5</v>
      </c>
      <c r="BX62" s="26" t="s">
        <v>6</v>
      </c>
      <c r="BY62" s="27" t="s">
        <v>4</v>
      </c>
      <c r="BZ62" s="25" t="s">
        <v>5</v>
      </c>
      <c r="CA62" s="26" t="s">
        <v>6</v>
      </c>
      <c r="CB62" s="27" t="s">
        <v>4</v>
      </c>
      <c r="CC62" s="25" t="s">
        <v>5</v>
      </c>
      <c r="CD62" s="26" t="s">
        <v>6</v>
      </c>
      <c r="CE62" s="27" t="s">
        <v>4</v>
      </c>
      <c r="CF62" s="25" t="s">
        <v>5</v>
      </c>
      <c r="CG62" s="26" t="s">
        <v>6</v>
      </c>
      <c r="CH62" s="27" t="s">
        <v>4</v>
      </c>
      <c r="CI62" s="25" t="s">
        <v>5</v>
      </c>
      <c r="CJ62" s="26" t="s">
        <v>6</v>
      </c>
      <c r="CK62" s="27" t="s">
        <v>4</v>
      </c>
      <c r="CL62" s="25" t="s">
        <v>5</v>
      </c>
      <c r="CM62" s="26" t="s">
        <v>6</v>
      </c>
      <c r="CN62" s="27" t="s">
        <v>4</v>
      </c>
      <c r="CO62" s="25" t="s">
        <v>5</v>
      </c>
      <c r="CP62" s="26" t="s">
        <v>6</v>
      </c>
      <c r="CQ62" s="27" t="s">
        <v>4</v>
      </c>
      <c r="CR62" s="25" t="s">
        <v>5</v>
      </c>
      <c r="CS62" s="26" t="s">
        <v>6</v>
      </c>
      <c r="CT62" s="27" t="s">
        <v>4</v>
      </c>
      <c r="CU62" s="25" t="s">
        <v>5</v>
      </c>
      <c r="CV62" s="26" t="s">
        <v>6</v>
      </c>
      <c r="CW62" s="27" t="s">
        <v>4</v>
      </c>
      <c r="CX62" s="25" t="s">
        <v>5</v>
      </c>
      <c r="CY62" s="26" t="s">
        <v>6</v>
      </c>
      <c r="CZ62" s="27" t="s">
        <v>4</v>
      </c>
      <c r="DA62" s="25" t="s">
        <v>5</v>
      </c>
      <c r="DB62" s="26" t="s">
        <v>6</v>
      </c>
      <c r="DC62" s="27" t="s">
        <v>4</v>
      </c>
      <c r="DD62" s="25" t="s">
        <v>5</v>
      </c>
      <c r="DE62" s="26" t="s">
        <v>6</v>
      </c>
      <c r="DI62" s="52"/>
      <c r="DN62" s="136" t="s">
        <v>7</v>
      </c>
      <c r="DO62" s="136"/>
      <c r="DP62" s="136" t="s">
        <v>8</v>
      </c>
      <c r="DQ62" s="136"/>
      <c r="DR62" s="28"/>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row>
    <row r="63" spans="1:170" ht="11.25" customHeight="1" x14ac:dyDescent="0.2">
      <c r="C63" s="2" t="str">
        <f>ß01</f>
        <v>Bayern</v>
      </c>
      <c r="D63" s="3" t="s">
        <v>11</v>
      </c>
      <c r="E63" s="2" t="str">
        <f>ß06</f>
        <v>Werder</v>
      </c>
      <c r="F63" s="29"/>
      <c r="G63" s="3" t="s">
        <v>12</v>
      </c>
      <c r="H63" s="30"/>
      <c r="I63" s="31"/>
      <c r="J63" s="32" t="str">
        <f t="shared" ref="J63:J71" si="61">IF($F63="","",(IF(I63="","",IF(I63=$DG63,(VLOOKUP($DH63,$DJ$3:$DK$11,2,FALSE())),0))))</f>
        <v/>
      </c>
      <c r="K63" s="31"/>
      <c r="L63" s="32" t="str">
        <f t="shared" ref="L63:L71" si="62">IF($F63="","",(IF(K63="","",IF(K63=$DG63,(VLOOKUP($DH63,$DJ$3:$DK$11,2,FALSE())),0))))</f>
        <v/>
      </c>
      <c r="M63" s="31"/>
      <c r="N63" s="32" t="str">
        <f t="shared" ref="N63:N71" si="63">IF($F63="","",(IF(M63="","",IF(M63=$DG63,(VLOOKUP($DH63,$DJ$3:$DK$11,2,FALSE())),0))))</f>
        <v/>
      </c>
      <c r="O63" s="31"/>
      <c r="P63" s="32" t="str">
        <f t="shared" ref="P63:P71" si="64">IF($F63="","",(IF(O63="","",IF(O63=$DG63,(VLOOKUP($DH63,$DJ$3:$DK$11,2,FALSE())),0))))</f>
        <v/>
      </c>
      <c r="Q63" s="31"/>
      <c r="R63" s="32" t="str">
        <f t="shared" ref="R63:R71" si="65">IF($F63="","",(IF(Q63="","",IF(Q63=$DG63,(VLOOKUP($DH63,$DJ$3:$DK$11,2,FALSE())),0))))</f>
        <v/>
      </c>
      <c r="S63" s="31"/>
      <c r="T63" s="32" t="str">
        <f t="shared" ref="T63:T71" si="66">IF($F63="","",(IF(S63="","",IF(S63=$DG63,(VLOOKUP($DH63,$DJ$3:$DK$11,2,FALSE())),0))))</f>
        <v/>
      </c>
      <c r="U63" s="31"/>
      <c r="V63" s="32" t="str">
        <f t="shared" ref="V63:V71" si="67">IF($F63="","",(IF(U63="","",IF(U63=$DG63,(VLOOKUP($DH63,$DJ$3:$DK$11,2,FALSE())),0))))</f>
        <v/>
      </c>
      <c r="AF63" s="34"/>
      <c r="AG63" s="34"/>
      <c r="AH63" s="34"/>
      <c r="AI63" s="34"/>
      <c r="AJ63" s="34"/>
      <c r="AN63" s="5"/>
      <c r="AO63" s="5"/>
      <c r="AP63" s="5"/>
      <c r="AQ63" s="5"/>
      <c r="AR63" s="5"/>
      <c r="AS63" s="13"/>
      <c r="AT63" s="5"/>
      <c r="AU63" s="5"/>
      <c r="AV63" s="5"/>
      <c r="AW63" s="5"/>
      <c r="AX63" s="5"/>
      <c r="AY63" s="5"/>
      <c r="BC63" s="6">
        <v>62</v>
      </c>
      <c r="BD63" s="35">
        <f>IF(ISERROR(MATCH(ß01,$C63:$C71,0)),"",MATCH(ß01,$C63:$C71,0))</f>
        <v>1</v>
      </c>
      <c r="BE63" s="35" t="str">
        <f>IF(ISERROR(MATCH(ß01,$E63:$E71,0)),"",MATCH(ß01,$E63:$E71,0))</f>
        <v/>
      </c>
      <c r="BF63" s="15">
        <f>SUM(BD63:BE63)+BC63</f>
        <v>63</v>
      </c>
      <c r="BG63" s="36" t="str">
        <f>IF(ISERROR(MATCH(ß02,$C63:$C71,0)),"",MATCH(ß02,$C63:$C71,0))</f>
        <v/>
      </c>
      <c r="BH63" s="35">
        <f>IF(ISERROR(MATCH(ß02,$E63:$E71,0)),"",MATCH(ß02,$E63:$E71,0))</f>
        <v>5</v>
      </c>
      <c r="BI63" s="15">
        <f>SUM(BG63:BH63)+BC63</f>
        <v>67</v>
      </c>
      <c r="BJ63" s="36" t="str">
        <f>IF(ISERROR(MATCH(ß03,$C63:$C71,0)),"",MATCH(ß03,$C63:$C71,0))</f>
        <v/>
      </c>
      <c r="BK63" s="35">
        <f>IF(ISERROR(MATCH(ß03,$E63:$E71,0)),"",MATCH(ß03,$E63:$E71,0))</f>
        <v>7</v>
      </c>
      <c r="BL63" s="15">
        <f>SUM(BJ63:BK63)+BC63</f>
        <v>69</v>
      </c>
      <c r="BM63" s="36" t="str">
        <f>IF(ISERROR(MATCH(ß04,$C63:$C71,0)),"",MATCH(ß04,$C63:$C71,0))</f>
        <v/>
      </c>
      <c r="BN63" s="35">
        <f>IF(ISERROR(MATCH(ß04,$E63:$E71,0)),"",MATCH(ß04,$E63:$E71,0))</f>
        <v>2</v>
      </c>
      <c r="BO63" s="15">
        <f>SUM(BM63:BN63)+BC63</f>
        <v>64</v>
      </c>
      <c r="BP63" s="36" t="str">
        <f>IF(ISERROR(MATCH(ß05,$C63:$C71,0)),"",MATCH(ß05,$C63:$C71,0))</f>
        <v/>
      </c>
      <c r="BQ63" s="35">
        <f>IF(ISERROR(MATCH(ß05,$E63:$E71,0)),"",MATCH(ß05,$E63:$E71,0))</f>
        <v>4</v>
      </c>
      <c r="BR63" s="15">
        <f>SUM(BP63:BQ63)+BC63</f>
        <v>66</v>
      </c>
      <c r="BS63" s="36" t="str">
        <f>IF(ISERROR(MATCH(ß06,$C63:$C71,0)),"",MATCH(ß06,$C63:$C71,0))</f>
        <v/>
      </c>
      <c r="BT63" s="35">
        <f>IF(ISERROR(MATCH(ß06,$E63:$E71,0)),"",MATCH(ß06,$E63:$E71,0))</f>
        <v>1</v>
      </c>
      <c r="BU63" s="15">
        <f>SUM(BS63:BT63)+BC63</f>
        <v>63</v>
      </c>
      <c r="BV63" s="36">
        <f>IF(ISERROR(MATCH(ß07,$C63:$C71,0)),"",MATCH(ß07,$C63:$C71,0))</f>
        <v>2</v>
      </c>
      <c r="BW63" s="35" t="str">
        <f>IF(ISERROR(MATCH(ß07,$E63:$E71,0)),"",MATCH(ß07,$E63:$E71,0))</f>
        <v/>
      </c>
      <c r="BX63" s="15">
        <f>SUM(BV63:BW63)+BC63</f>
        <v>64</v>
      </c>
      <c r="BY63" s="36" t="str">
        <f>IF(ISERROR(MATCH(ß08,$C63:$C71,0)),"",MATCH(ß08,$C63:$C71,0))</f>
        <v/>
      </c>
      <c r="BZ63" s="35">
        <f>IF(ISERROR(MATCH(ß08,$E63:$E71,0)),"",MATCH(ß08,$E63:$E71,0))</f>
        <v>8</v>
      </c>
      <c r="CA63" s="15">
        <f>SUM(BY63:BZ63)+BC63</f>
        <v>70</v>
      </c>
      <c r="CB63" s="36">
        <f>IF(ISERROR(MATCH(ß09,$C63:$C71,0)),"",MATCH(ß09,$C63:$C71,0))</f>
        <v>3</v>
      </c>
      <c r="CC63" s="35" t="str">
        <f>IF(ISERROR(MATCH(ß09,$E63:$E71,0)),"",MATCH(ß09,$E63:$E71,0))</f>
        <v/>
      </c>
      <c r="CD63" s="15">
        <f>SUM(CB63:CC63)+BC63</f>
        <v>65</v>
      </c>
      <c r="CE63" s="36">
        <f>IF(ISERROR(MATCH(ß10,$C63:$C71,0)),"",MATCH(ß10,$C63:$C71,0))</f>
        <v>9</v>
      </c>
      <c r="CF63" s="35" t="str">
        <f>IF(ISERROR(MATCH(ß10,$E63:$E71,0)),"",MATCH(ß10,$E63:$E71,0))</f>
        <v/>
      </c>
      <c r="CG63" s="15">
        <f>SUM(CE63:CF63)+BC63</f>
        <v>71</v>
      </c>
      <c r="CH63" s="36">
        <f>IF(ISERROR(MATCH(ß11,$C63:$C71,0)),"",MATCH(ß11,$C63:$C71,0))</f>
        <v>4</v>
      </c>
      <c r="CI63" s="35" t="str">
        <f>IF(ISERROR(MATCH(ß11,$E63:$E71,0)),"",MATCH(ß11,$E63:$E71,0))</f>
        <v/>
      </c>
      <c r="CJ63" s="15">
        <f>SUM(CH63:CI63)+BC63</f>
        <v>66</v>
      </c>
      <c r="CK63" s="36" t="str">
        <f>IF(ISERROR(MATCH(ß12,$C63:$C71,0)),"",MATCH(ß12,$C63:$C71,0))</f>
        <v/>
      </c>
      <c r="CL63" s="35">
        <f>IF(ISERROR(MATCH(ß12,$E63:$E71,0)),"",MATCH(ß12,$E63:$E71,0))</f>
        <v>6</v>
      </c>
      <c r="CM63" s="15">
        <f>SUM(CK63:CL63)+BC63</f>
        <v>68</v>
      </c>
      <c r="CN63" s="36">
        <f>IF(ISERROR(MATCH(ß13,$C63:$C71,0)),"",MATCH(ß13,$C63:$C71,0))</f>
        <v>6</v>
      </c>
      <c r="CO63" s="35" t="str">
        <f>IF(ISERROR(MATCH(ß13,$E63:$E71,0)),"",MATCH(ß13,$E63:$E71,0))</f>
        <v/>
      </c>
      <c r="CP63" s="15">
        <f>SUM(CN63:CO63)+BC63</f>
        <v>68</v>
      </c>
      <c r="CQ63" s="36" t="str">
        <f>IF(ISERROR(MATCH(ß14,$C63:$C71,0)),"",MATCH(ß14,$C63:$C71,0))</f>
        <v/>
      </c>
      <c r="CR63" s="35">
        <f>IF(ISERROR(MATCH(ß14,$E63:$E71,0)),"",MATCH(ß14,$E63:$E71,0))</f>
        <v>9</v>
      </c>
      <c r="CS63" s="15">
        <f>SUM(CQ63:CR63)+BC63</f>
        <v>71</v>
      </c>
      <c r="CT63" s="36">
        <f>IF(ISERROR(MATCH(ß15,$C63:$C71,0)),"",MATCH(ß15,$C63:$C71,0))</f>
        <v>7</v>
      </c>
      <c r="CU63" s="35" t="str">
        <f>IF(ISERROR(MATCH(ß15,$E63:$E71,0)),"",MATCH(ß15,$E63:$E71,0))</f>
        <v/>
      </c>
      <c r="CV63" s="15">
        <f>SUM(CT63:CU63)+BC63</f>
        <v>69</v>
      </c>
      <c r="CW63" s="36" t="str">
        <f>IF(ISERROR(MATCH(ß16,$C63:$C71,0)),"",MATCH(ß16,$C63:$C71,0))</f>
        <v/>
      </c>
      <c r="CX63" s="35">
        <f>IF(ISERROR(MATCH(ß16,$E63:$E71,0)),"",MATCH(ß16,$E63:$E71,0))</f>
        <v>3</v>
      </c>
      <c r="CY63" s="15">
        <f>SUM(CW63:CX63)+BC63</f>
        <v>65</v>
      </c>
      <c r="CZ63" s="36">
        <f>IF(ISERROR(MATCH(ß17,$C63:$C71,0)),"",MATCH(ß17,$C63:$C71,0))</f>
        <v>8</v>
      </c>
      <c r="DA63" s="35" t="str">
        <f>IF(ISERROR(MATCH(ß17,$E63:$E71,0)),"",MATCH(ß17,$E63:$E71,0))</f>
        <v/>
      </c>
      <c r="DB63" s="15">
        <f>SUM(CZ63:DA63)+BC63</f>
        <v>70</v>
      </c>
      <c r="DC63" s="36">
        <f>IF(ISERROR(MATCH(ß18,$C63:$C71,0)),"",MATCH(ß18,$C63:$C71,0))</f>
        <v>5</v>
      </c>
      <c r="DD63" s="35" t="str">
        <f>IF(ISERROR(MATCH(ß18,$E63:$E71,0)),"",MATCH(ß18,$E63:$E71,0))</f>
        <v/>
      </c>
      <c r="DE63" s="15">
        <f>SUM(DC63:DD63)+BC63</f>
        <v>67</v>
      </c>
      <c r="DG63" s="8" t="str">
        <f t="shared" ref="DG63:DG71" si="68">IF(F63="","",(IF(F63=H63,0,IF(F63&gt;H63,1,IF(F63&lt;H63,2)))))</f>
        <v/>
      </c>
      <c r="DH63" s="3">
        <f>COUNTIF(I63,DG63)+COUNTIF(K63,DG63)+COUNTIF(M63,DG63)+COUNTIF(O63,DG63)+COUNTIF(Q63,DG63)+COUNTIF(S63,DG63)+COUNTIF(U63,DG63)</f>
        <v>7</v>
      </c>
      <c r="DN63" s="12">
        <f t="shared" ref="DN63:DN71" si="69">F63</f>
        <v>0</v>
      </c>
      <c r="DO63" s="5">
        <f t="shared" ref="DO63:DO71" si="70">H63</f>
        <v>0</v>
      </c>
      <c r="DP63" s="5" t="str">
        <f t="shared" ref="DP63:DP71" si="71">IF($F63="","",IF(DN63&gt;DO63,3,IF(DN63&lt;DO63,0,1)))</f>
        <v/>
      </c>
      <c r="DQ63" s="5" t="str">
        <f t="shared" ref="DQ63:DQ71" si="72">IF($H63="","",IF(DO63&gt;DN63,3,IF(DO63&lt;DN63,0,1)))</f>
        <v/>
      </c>
      <c r="DR63" s="5">
        <f t="shared" ref="DR63:DR71" si="73">IF(ISBLANK(F63),0,1)</f>
        <v>0</v>
      </c>
    </row>
    <row r="64" spans="1:170" ht="11.25" customHeight="1" x14ac:dyDescent="0.2">
      <c r="C64" s="2" t="str">
        <f>ß07</f>
        <v>Freiburg</v>
      </c>
      <c r="D64" s="3" t="s">
        <v>11</v>
      </c>
      <c r="E64" s="2" t="str">
        <f>ß04</f>
        <v>Hoffenheim</v>
      </c>
      <c r="F64" s="29"/>
      <c r="G64" s="3" t="s">
        <v>12</v>
      </c>
      <c r="H64" s="30"/>
      <c r="I64" s="37"/>
      <c r="J64" s="38" t="str">
        <f t="shared" si="61"/>
        <v/>
      </c>
      <c r="K64" s="37"/>
      <c r="L64" s="38" t="str">
        <f t="shared" si="62"/>
        <v/>
      </c>
      <c r="M64" s="37"/>
      <c r="N64" s="38" t="str">
        <f t="shared" si="63"/>
        <v/>
      </c>
      <c r="O64" s="37"/>
      <c r="P64" s="38" t="str">
        <f t="shared" si="64"/>
        <v/>
      </c>
      <c r="Q64" s="37"/>
      <c r="R64" s="38" t="str">
        <f t="shared" si="65"/>
        <v/>
      </c>
      <c r="S64" s="37"/>
      <c r="T64" s="38" t="str">
        <f t="shared" si="66"/>
        <v/>
      </c>
      <c r="U64" s="37"/>
      <c r="V64" s="38" t="str">
        <f t="shared" si="67"/>
        <v/>
      </c>
      <c r="AF64" s="34"/>
      <c r="AG64" s="34"/>
      <c r="AH64" s="34"/>
      <c r="AI64" s="34"/>
      <c r="AJ64" s="34"/>
      <c r="DG64" s="8" t="str">
        <f t="shared" si="68"/>
        <v/>
      </c>
      <c r="DH64" s="3">
        <f t="shared" ref="DH64:DH71" si="74">COUNTIF(I64,DG64)+COUNTIF(K64,DG64)+COUNTIF(M64,DG64)+COUNTIF(O64,DG64)+COUNTIF(Q64,DG64)+COUNTIF(S64,DG64)+COUNTIF(U64,DG64)</f>
        <v>7</v>
      </c>
      <c r="DN64" s="12">
        <f t="shared" si="69"/>
        <v>0</v>
      </c>
      <c r="DO64" s="5">
        <f t="shared" si="70"/>
        <v>0</v>
      </c>
      <c r="DP64" s="5" t="str">
        <f t="shared" si="71"/>
        <v/>
      </c>
      <c r="DQ64" s="5" t="str">
        <f t="shared" si="72"/>
        <v/>
      </c>
      <c r="DR64" s="5">
        <f t="shared" si="73"/>
        <v>0</v>
      </c>
    </row>
    <row r="65" spans="3:122" ht="11.25" customHeight="1" x14ac:dyDescent="0.2">
      <c r="C65" s="2" t="str">
        <f>ß09</f>
        <v>Mainz</v>
      </c>
      <c r="D65" s="3" t="s">
        <v>11</v>
      </c>
      <c r="E65" s="2" t="str">
        <f>ß16</f>
        <v>Dortmund</v>
      </c>
      <c r="F65" s="29"/>
      <c r="G65" s="3" t="s">
        <v>12</v>
      </c>
      <c r="H65" s="30"/>
      <c r="I65" s="37"/>
      <c r="J65" s="38" t="str">
        <f t="shared" si="61"/>
        <v/>
      </c>
      <c r="K65" s="37"/>
      <c r="L65" s="38" t="str">
        <f t="shared" si="62"/>
        <v/>
      </c>
      <c r="M65" s="37"/>
      <c r="N65" s="38" t="str">
        <f t="shared" si="63"/>
        <v/>
      </c>
      <c r="O65" s="37"/>
      <c r="P65" s="38" t="str">
        <f t="shared" si="64"/>
        <v/>
      </c>
      <c r="Q65" s="37"/>
      <c r="R65" s="38" t="str">
        <f t="shared" si="65"/>
        <v/>
      </c>
      <c r="S65" s="37"/>
      <c r="T65" s="38" t="str">
        <f t="shared" si="66"/>
        <v/>
      </c>
      <c r="U65" s="37"/>
      <c r="V65" s="38" t="str">
        <f t="shared" si="67"/>
        <v/>
      </c>
      <c r="AF65" s="34"/>
      <c r="AG65" s="34"/>
      <c r="AH65" s="34"/>
      <c r="AI65" s="34"/>
      <c r="AJ65" s="34"/>
      <c r="DG65" s="8" t="str">
        <f t="shared" si="68"/>
        <v/>
      </c>
      <c r="DH65" s="3">
        <f t="shared" si="74"/>
        <v>7</v>
      </c>
      <c r="DN65" s="12">
        <f t="shared" si="69"/>
        <v>0</v>
      </c>
      <c r="DO65" s="5">
        <f t="shared" si="70"/>
        <v>0</v>
      </c>
      <c r="DP65" s="5" t="str">
        <f t="shared" si="71"/>
        <v/>
      </c>
      <c r="DQ65" s="5" t="str">
        <f t="shared" si="72"/>
        <v/>
      </c>
      <c r="DR65" s="5">
        <f t="shared" si="73"/>
        <v>0</v>
      </c>
    </row>
    <row r="66" spans="3:122" ht="11.25" customHeight="1" x14ac:dyDescent="0.2">
      <c r="C66" s="2" t="str">
        <f>ß11</f>
        <v>M'gladb.</v>
      </c>
      <c r="D66" s="3" t="s">
        <v>11</v>
      </c>
      <c r="E66" s="2" t="str">
        <f>ß05</f>
        <v>Frankfurt</v>
      </c>
      <c r="F66" s="29"/>
      <c r="G66" s="3" t="s">
        <v>12</v>
      </c>
      <c r="H66" s="30"/>
      <c r="I66" s="37"/>
      <c r="J66" s="38" t="str">
        <f t="shared" si="61"/>
        <v/>
      </c>
      <c r="K66" s="37"/>
      <c r="L66" s="38" t="str">
        <f t="shared" si="62"/>
        <v/>
      </c>
      <c r="M66" s="37"/>
      <c r="N66" s="38" t="str">
        <f t="shared" si="63"/>
        <v/>
      </c>
      <c r="O66" s="37"/>
      <c r="P66" s="38" t="str">
        <f t="shared" si="64"/>
        <v/>
      </c>
      <c r="Q66" s="37"/>
      <c r="R66" s="38" t="str">
        <f t="shared" si="65"/>
        <v/>
      </c>
      <c r="S66" s="37"/>
      <c r="T66" s="38" t="str">
        <f t="shared" si="66"/>
        <v/>
      </c>
      <c r="U66" s="37"/>
      <c r="V66" s="38" t="str">
        <f t="shared" si="67"/>
        <v/>
      </c>
      <c r="AF66" s="34"/>
      <c r="AG66" s="34"/>
      <c r="AH66" s="34"/>
      <c r="AI66" s="34"/>
      <c r="AJ66" s="34"/>
      <c r="DG66" s="8" t="str">
        <f t="shared" si="68"/>
        <v/>
      </c>
      <c r="DH66" s="3">
        <f t="shared" si="74"/>
        <v>7</v>
      </c>
      <c r="DN66" s="12">
        <f t="shared" si="69"/>
        <v>0</v>
      </c>
      <c r="DO66" s="5">
        <f t="shared" si="70"/>
        <v>0</v>
      </c>
      <c r="DP66" s="5" t="str">
        <f t="shared" si="71"/>
        <v/>
      </c>
      <c r="DQ66" s="5" t="str">
        <f t="shared" si="72"/>
        <v/>
      </c>
      <c r="DR66" s="5">
        <f t="shared" si="73"/>
        <v>0</v>
      </c>
    </row>
    <row r="67" spans="3:122" ht="11.25" customHeight="1" x14ac:dyDescent="0.2">
      <c r="C67" s="2" t="str">
        <f>ß18</f>
        <v>Wolfsburg</v>
      </c>
      <c r="D67" s="3" t="s">
        <v>11</v>
      </c>
      <c r="E67" s="2" t="str">
        <f>ß02</f>
        <v>Leipzig</v>
      </c>
      <c r="F67" s="29"/>
      <c r="G67" s="3" t="s">
        <v>12</v>
      </c>
      <c r="H67" s="30"/>
      <c r="I67" s="37"/>
      <c r="J67" s="38" t="str">
        <f t="shared" si="61"/>
        <v/>
      </c>
      <c r="K67" s="37"/>
      <c r="L67" s="38" t="str">
        <f t="shared" si="62"/>
        <v/>
      </c>
      <c r="M67" s="37"/>
      <c r="N67" s="38" t="str">
        <f t="shared" si="63"/>
        <v/>
      </c>
      <c r="O67" s="37"/>
      <c r="P67" s="38" t="str">
        <f t="shared" si="64"/>
        <v/>
      </c>
      <c r="Q67" s="37"/>
      <c r="R67" s="38" t="str">
        <f t="shared" si="65"/>
        <v/>
      </c>
      <c r="S67" s="37"/>
      <c r="T67" s="38" t="str">
        <f t="shared" si="66"/>
        <v/>
      </c>
      <c r="U67" s="37"/>
      <c r="V67" s="38" t="str">
        <f t="shared" si="67"/>
        <v/>
      </c>
      <c r="AF67" s="34"/>
      <c r="AG67" s="34"/>
      <c r="AH67" s="34"/>
      <c r="AI67" s="34"/>
      <c r="AJ67" s="34"/>
      <c r="DG67" s="8" t="str">
        <f t="shared" si="68"/>
        <v/>
      </c>
      <c r="DH67" s="3">
        <f t="shared" si="74"/>
        <v>7</v>
      </c>
      <c r="DN67" s="12">
        <f t="shared" si="69"/>
        <v>0</v>
      </c>
      <c r="DO67" s="5">
        <f t="shared" si="70"/>
        <v>0</v>
      </c>
      <c r="DP67" s="5" t="str">
        <f t="shared" si="71"/>
        <v/>
      </c>
      <c r="DQ67" s="5" t="str">
        <f t="shared" si="72"/>
        <v/>
      </c>
      <c r="DR67" s="5">
        <f t="shared" si="73"/>
        <v>0</v>
      </c>
    </row>
    <row r="68" spans="3:122" ht="11.25" customHeight="1" x14ac:dyDescent="0.2">
      <c r="C68" s="2" t="str">
        <f>ß13</f>
        <v>Union</v>
      </c>
      <c r="D68" s="3" t="s">
        <v>11</v>
      </c>
      <c r="E68" s="2" t="str">
        <f>ß12</f>
        <v>HSV</v>
      </c>
      <c r="F68" s="29"/>
      <c r="G68" s="3" t="s">
        <v>12</v>
      </c>
      <c r="H68" s="30"/>
      <c r="I68" s="37"/>
      <c r="J68" s="38" t="str">
        <f t="shared" si="61"/>
        <v/>
      </c>
      <c r="K68" s="37"/>
      <c r="L68" s="38" t="str">
        <f t="shared" si="62"/>
        <v/>
      </c>
      <c r="M68" s="37"/>
      <c r="N68" s="38" t="str">
        <f t="shared" si="63"/>
        <v/>
      </c>
      <c r="O68" s="37"/>
      <c r="P68" s="38" t="str">
        <f t="shared" si="64"/>
        <v/>
      </c>
      <c r="Q68" s="37"/>
      <c r="R68" s="38" t="str">
        <f t="shared" si="65"/>
        <v/>
      </c>
      <c r="S68" s="37"/>
      <c r="T68" s="38" t="str">
        <f t="shared" si="66"/>
        <v/>
      </c>
      <c r="U68" s="37"/>
      <c r="V68" s="38" t="str">
        <f t="shared" si="67"/>
        <v/>
      </c>
      <c r="AF68" s="34"/>
      <c r="AG68" s="34"/>
      <c r="AH68" s="34"/>
      <c r="AI68" s="34"/>
      <c r="AJ68" s="34"/>
      <c r="DG68" s="8" t="str">
        <f t="shared" si="68"/>
        <v/>
      </c>
      <c r="DH68" s="3">
        <f t="shared" si="74"/>
        <v>7</v>
      </c>
      <c r="DN68" s="12">
        <f t="shared" si="69"/>
        <v>0</v>
      </c>
      <c r="DO68" s="5">
        <f t="shared" si="70"/>
        <v>0</v>
      </c>
      <c r="DP68" s="5" t="str">
        <f t="shared" si="71"/>
        <v/>
      </c>
      <c r="DQ68" s="5" t="str">
        <f t="shared" si="72"/>
        <v/>
      </c>
      <c r="DR68" s="5">
        <f t="shared" si="73"/>
        <v>0</v>
      </c>
    </row>
    <row r="69" spans="3:122" ht="11.25" customHeight="1" x14ac:dyDescent="0.2">
      <c r="C69" s="2" t="str">
        <f>ß15</f>
        <v>St. Pauli</v>
      </c>
      <c r="D69" s="3" t="s">
        <v>11</v>
      </c>
      <c r="E69" s="2" t="str">
        <f>ß03</f>
        <v>Leverk.</v>
      </c>
      <c r="F69" s="29"/>
      <c r="G69" s="3" t="s">
        <v>12</v>
      </c>
      <c r="H69" s="30"/>
      <c r="I69" s="37"/>
      <c r="J69" s="38" t="str">
        <f t="shared" si="61"/>
        <v/>
      </c>
      <c r="K69" s="37"/>
      <c r="L69" s="38" t="str">
        <f t="shared" si="62"/>
        <v/>
      </c>
      <c r="M69" s="37"/>
      <c r="N69" s="38" t="str">
        <f t="shared" si="63"/>
        <v/>
      </c>
      <c r="O69" s="37"/>
      <c r="P69" s="38" t="str">
        <f t="shared" si="64"/>
        <v/>
      </c>
      <c r="Q69" s="37"/>
      <c r="R69" s="38" t="str">
        <f t="shared" si="65"/>
        <v/>
      </c>
      <c r="S69" s="37"/>
      <c r="T69" s="38" t="str">
        <f t="shared" si="66"/>
        <v/>
      </c>
      <c r="U69" s="37"/>
      <c r="V69" s="38" t="str">
        <f t="shared" si="67"/>
        <v/>
      </c>
      <c r="AF69" s="34"/>
      <c r="AG69" s="34"/>
      <c r="AH69" s="34"/>
      <c r="AI69" s="34"/>
      <c r="AJ69" s="34"/>
      <c r="DG69" s="8" t="str">
        <f t="shared" si="68"/>
        <v/>
      </c>
      <c r="DH69" s="3">
        <f t="shared" si="74"/>
        <v>7</v>
      </c>
      <c r="DN69" s="12">
        <f t="shared" si="69"/>
        <v>0</v>
      </c>
      <c r="DO69" s="5">
        <f t="shared" si="70"/>
        <v>0</v>
      </c>
      <c r="DP69" s="5" t="str">
        <f t="shared" si="71"/>
        <v/>
      </c>
      <c r="DQ69" s="5" t="str">
        <f t="shared" si="72"/>
        <v/>
      </c>
      <c r="DR69" s="5">
        <f t="shared" si="73"/>
        <v>0</v>
      </c>
    </row>
    <row r="70" spans="3:122" ht="11.25" customHeight="1" x14ac:dyDescent="0.2">
      <c r="C70" s="2" t="str">
        <f>ß17</f>
        <v>Heidenheim</v>
      </c>
      <c r="D70" s="3" t="s">
        <v>11</v>
      </c>
      <c r="E70" s="2" t="str">
        <f>ß08</f>
        <v>Augsburg</v>
      </c>
      <c r="F70" s="29"/>
      <c r="G70" s="3" t="s">
        <v>12</v>
      </c>
      <c r="H70" s="30"/>
      <c r="I70" s="37"/>
      <c r="J70" s="38" t="str">
        <f t="shared" si="61"/>
        <v/>
      </c>
      <c r="K70" s="37"/>
      <c r="L70" s="38" t="str">
        <f t="shared" si="62"/>
        <v/>
      </c>
      <c r="M70" s="37"/>
      <c r="N70" s="38" t="str">
        <f t="shared" si="63"/>
        <v/>
      </c>
      <c r="O70" s="37"/>
      <c r="P70" s="38" t="str">
        <f t="shared" si="64"/>
        <v/>
      </c>
      <c r="Q70" s="37"/>
      <c r="R70" s="38" t="str">
        <f t="shared" si="65"/>
        <v/>
      </c>
      <c r="S70" s="37"/>
      <c r="T70" s="38" t="str">
        <f t="shared" si="66"/>
        <v/>
      </c>
      <c r="U70" s="37"/>
      <c r="V70" s="38" t="str">
        <f t="shared" si="67"/>
        <v/>
      </c>
      <c r="AF70" s="34"/>
      <c r="AG70" s="34"/>
      <c r="AH70" s="34"/>
      <c r="AI70" s="34"/>
      <c r="AJ70" s="34"/>
      <c r="DG70" s="8" t="str">
        <f t="shared" si="68"/>
        <v/>
      </c>
      <c r="DH70" s="3">
        <f t="shared" si="74"/>
        <v>7</v>
      </c>
      <c r="DN70" s="12">
        <f t="shared" si="69"/>
        <v>0</v>
      </c>
      <c r="DO70" s="5">
        <f t="shared" si="70"/>
        <v>0</v>
      </c>
      <c r="DP70" s="5" t="str">
        <f t="shared" si="71"/>
        <v/>
      </c>
      <c r="DQ70" s="5" t="str">
        <f t="shared" si="72"/>
        <v/>
      </c>
      <c r="DR70" s="5">
        <f t="shared" si="73"/>
        <v>0</v>
      </c>
    </row>
    <row r="71" spans="3:122" ht="11.25" customHeight="1" thickBot="1" x14ac:dyDescent="0.25">
      <c r="C71" s="2" t="str">
        <f>ß10</f>
        <v>Köln</v>
      </c>
      <c r="D71" s="3" t="s">
        <v>11</v>
      </c>
      <c r="E71" s="2" t="str">
        <f>ß14</f>
        <v>Stuttgart</v>
      </c>
      <c r="F71" s="29"/>
      <c r="G71" s="3" t="s">
        <v>12</v>
      </c>
      <c r="H71" s="30"/>
      <c r="I71" s="37"/>
      <c r="J71" s="38" t="str">
        <f t="shared" si="61"/>
        <v/>
      </c>
      <c r="K71" s="37"/>
      <c r="L71" s="38" t="str">
        <f t="shared" si="62"/>
        <v/>
      </c>
      <c r="M71" s="37"/>
      <c r="N71" s="38" t="str">
        <f t="shared" si="63"/>
        <v/>
      </c>
      <c r="O71" s="37"/>
      <c r="P71" s="38" t="str">
        <f t="shared" si="64"/>
        <v/>
      </c>
      <c r="Q71" s="37"/>
      <c r="R71" s="38" t="str">
        <f t="shared" si="65"/>
        <v/>
      </c>
      <c r="S71" s="37"/>
      <c r="T71" s="38" t="str">
        <f t="shared" si="66"/>
        <v/>
      </c>
      <c r="U71" s="37"/>
      <c r="V71" s="38" t="str">
        <f t="shared" si="67"/>
        <v/>
      </c>
      <c r="AF71" s="34"/>
      <c r="AG71" s="34"/>
      <c r="AH71" s="34"/>
      <c r="AI71" s="34"/>
      <c r="AJ71" s="34"/>
      <c r="DG71" s="8" t="str">
        <f t="shared" si="68"/>
        <v/>
      </c>
      <c r="DH71" s="3">
        <f t="shared" si="74"/>
        <v>7</v>
      </c>
      <c r="DN71" s="12">
        <f t="shared" si="69"/>
        <v>0</v>
      </c>
      <c r="DO71" s="5">
        <f t="shared" si="70"/>
        <v>0</v>
      </c>
      <c r="DP71" s="5" t="str">
        <f t="shared" si="71"/>
        <v/>
      </c>
      <c r="DQ71" s="5" t="str">
        <f t="shared" si="72"/>
        <v/>
      </c>
      <c r="DR71" s="5">
        <f t="shared" si="73"/>
        <v>0</v>
      </c>
    </row>
    <row r="72" spans="3:122" ht="11.25" customHeight="1" thickTop="1" x14ac:dyDescent="0.2">
      <c r="C72" s="41">
        <f>(I72+K72+M72+O72+Q72+S72+U72)</f>
        <v>0</v>
      </c>
      <c r="E72" s="42">
        <f>C72/8</f>
        <v>0</v>
      </c>
      <c r="F72" s="41">
        <f>SUM(F63:F71)</f>
        <v>0</v>
      </c>
      <c r="G72" s="2"/>
      <c r="H72" s="43">
        <f>SUM(H63:H71)</f>
        <v>0</v>
      </c>
      <c r="I72" s="44">
        <f>COUNTIF(J63:J71,"&gt;0")</f>
        <v>0</v>
      </c>
      <c r="J72" s="45">
        <f>I72+J57</f>
        <v>0</v>
      </c>
      <c r="K72" s="44">
        <f>COUNTIF(L63:L71,"&gt;0")</f>
        <v>0</v>
      </c>
      <c r="L72" s="45">
        <f>K72+L57</f>
        <v>0</v>
      </c>
      <c r="M72" s="44">
        <f>COUNTIF(N63:N71,"&gt;0")</f>
        <v>0</v>
      </c>
      <c r="N72" s="45">
        <f>M72+N57</f>
        <v>0</v>
      </c>
      <c r="O72" s="44">
        <f>COUNTIF(P63:P71,"&gt;0")</f>
        <v>0</v>
      </c>
      <c r="P72" s="45">
        <f>O72+P57</f>
        <v>0</v>
      </c>
      <c r="Q72" s="44">
        <f>COUNTIF(R63:R71,"&gt;0")</f>
        <v>0</v>
      </c>
      <c r="R72" s="45">
        <f>Q72+R57</f>
        <v>0</v>
      </c>
      <c r="S72" s="44">
        <f>COUNTIF(T63:T71,"&gt;0")</f>
        <v>0</v>
      </c>
      <c r="T72" s="45">
        <f>S72+T57</f>
        <v>0</v>
      </c>
      <c r="U72" s="44">
        <f>COUNTIF(V63:V71,"&gt;0")</f>
        <v>0</v>
      </c>
      <c r="V72" s="45">
        <f>U72+V57</f>
        <v>0</v>
      </c>
      <c r="AF72" s="34"/>
      <c r="AG72" s="34"/>
      <c r="AH72" s="34"/>
      <c r="AI72" s="34"/>
      <c r="AJ72" s="34"/>
      <c r="DN72" s="12"/>
    </row>
    <row r="73" spans="3:122" ht="11.25" customHeight="1" x14ac:dyDescent="0.2">
      <c r="C73" s="41">
        <f>(I73+K73+M73+O73+Q73+S73+U73)</f>
        <v>0</v>
      </c>
      <c r="E73" s="42">
        <f>C73/8</f>
        <v>0</v>
      </c>
      <c r="F73" s="137">
        <f>F72+H72</f>
        <v>0</v>
      </c>
      <c r="G73" s="137"/>
      <c r="H73" s="137"/>
      <c r="I73" s="46">
        <f>SUM(J63:J71)</f>
        <v>0</v>
      </c>
      <c r="J73" s="47">
        <f>I73+J58</f>
        <v>0</v>
      </c>
      <c r="K73" s="46">
        <f>SUM(L63:L71)</f>
        <v>0</v>
      </c>
      <c r="L73" s="47">
        <f>K73+L58</f>
        <v>0</v>
      </c>
      <c r="M73" s="46">
        <f>SUM(N63:N71)</f>
        <v>0</v>
      </c>
      <c r="N73" s="47">
        <f>M73+N58</f>
        <v>0</v>
      </c>
      <c r="O73" s="46">
        <f>SUM(P63:P71)</f>
        <v>0</v>
      </c>
      <c r="P73" s="47">
        <f>O73+P58</f>
        <v>0</v>
      </c>
      <c r="Q73" s="46">
        <f>SUM(R63:R71)</f>
        <v>0</v>
      </c>
      <c r="R73" s="47">
        <f>Q73+R58</f>
        <v>0</v>
      </c>
      <c r="S73" s="46">
        <f>SUM(T63:T71)</f>
        <v>0</v>
      </c>
      <c r="T73" s="47">
        <f>S73+T58</f>
        <v>0</v>
      </c>
      <c r="U73" s="46">
        <f>SUM(V63:V71)</f>
        <v>0</v>
      </c>
      <c r="V73" s="47">
        <f>U73+V58</f>
        <v>0</v>
      </c>
      <c r="AF73" s="34"/>
      <c r="AG73" s="34"/>
      <c r="AH73" s="34"/>
      <c r="AI73" s="34"/>
      <c r="AJ73" s="34"/>
      <c r="DN73" s="12"/>
    </row>
    <row r="74" spans="3:122" ht="11.25" customHeight="1" thickBot="1" x14ac:dyDescent="0.25">
      <c r="C74" s="41">
        <f>(I74+K74+M74+O74+Q74+S74+U74)</f>
        <v>0</v>
      </c>
      <c r="E74" s="42">
        <f>C74/8</f>
        <v>0</v>
      </c>
      <c r="F74" s="138">
        <f>F73+F59</f>
        <v>0</v>
      </c>
      <c r="G74" s="138"/>
      <c r="H74" s="138"/>
      <c r="I74" s="48">
        <f>I72*I73</f>
        <v>0</v>
      </c>
      <c r="J74" s="49">
        <f>I74+J59</f>
        <v>0</v>
      </c>
      <c r="K74" s="48">
        <f>K72*K73</f>
        <v>0</v>
      </c>
      <c r="L74" s="49">
        <f>K74+L59</f>
        <v>0</v>
      </c>
      <c r="M74" s="48">
        <f>M72*M73</f>
        <v>0</v>
      </c>
      <c r="N74" s="49">
        <f>M74+N59</f>
        <v>0</v>
      </c>
      <c r="O74" s="48">
        <f>O72*O73</f>
        <v>0</v>
      </c>
      <c r="P74" s="49">
        <f>O74+P59</f>
        <v>0</v>
      </c>
      <c r="Q74" s="48">
        <f>Q72*Q73</f>
        <v>0</v>
      </c>
      <c r="R74" s="49">
        <f>Q74+R59</f>
        <v>0</v>
      </c>
      <c r="S74" s="48">
        <f>S72*S73</f>
        <v>0</v>
      </c>
      <c r="T74" s="49">
        <f>S74+T59</f>
        <v>0</v>
      </c>
      <c r="U74" s="48">
        <f>U72*U73</f>
        <v>0</v>
      </c>
      <c r="V74" s="49">
        <f>U74+V59</f>
        <v>0</v>
      </c>
      <c r="AF74" s="34"/>
      <c r="AG74" s="34"/>
      <c r="AH74" s="34"/>
      <c r="AI74" s="34"/>
      <c r="AJ74" s="34"/>
      <c r="AL74" s="5">
        <f>MAX(I74,K74,M74,O74,Q74,S74,U74)</f>
        <v>0</v>
      </c>
      <c r="AM74" s="5">
        <f>MIN(I74,K74,M74,O74,Q74,S74,U74)</f>
        <v>0</v>
      </c>
      <c r="AN74" s="5"/>
      <c r="AO74" s="5"/>
      <c r="AP74" s="5"/>
      <c r="AQ74" s="5"/>
      <c r="AR74" s="5"/>
      <c r="AS74" s="13"/>
      <c r="AT74" s="5"/>
      <c r="AU74" s="5"/>
      <c r="AV74" s="5"/>
      <c r="AW74" s="5"/>
      <c r="AX74" s="5"/>
      <c r="AY74" s="5"/>
      <c r="AZ74" s="5"/>
      <c r="BA74" s="5"/>
      <c r="BB74" s="5"/>
      <c r="BD74" s="5"/>
      <c r="BE74" s="5"/>
      <c r="BF74" s="14"/>
      <c r="BG74" s="13"/>
      <c r="BH74" s="5"/>
      <c r="BI74" s="14"/>
      <c r="BJ74" s="13"/>
      <c r="BK74" s="5"/>
      <c r="BL74" s="14"/>
      <c r="BM74" s="13"/>
      <c r="BN74" s="5"/>
      <c r="BO74" s="14"/>
      <c r="BP74" s="13"/>
      <c r="BQ74" s="5"/>
      <c r="BR74" s="14"/>
      <c r="BS74" s="13"/>
      <c r="BT74" s="5"/>
      <c r="BU74" s="14"/>
      <c r="BV74" s="13"/>
      <c r="BW74" s="5"/>
      <c r="BX74" s="14"/>
      <c r="BY74" s="13"/>
      <c r="BZ74" s="5"/>
      <c r="CA74" s="14"/>
      <c r="CB74" s="13"/>
      <c r="CC74" s="5"/>
      <c r="CD74" s="14"/>
      <c r="CE74" s="13"/>
      <c r="CF74" s="5"/>
      <c r="CG74" s="14"/>
      <c r="CH74" s="13"/>
      <c r="CI74" s="5"/>
      <c r="CJ74" s="14"/>
      <c r="CK74" s="13"/>
      <c r="CL74" s="5"/>
      <c r="CM74" s="14"/>
      <c r="CN74" s="13"/>
      <c r="CO74" s="5"/>
      <c r="CP74" s="14"/>
      <c r="CQ74" s="13"/>
      <c r="CR74" s="5"/>
      <c r="CS74" s="14"/>
      <c r="CT74" s="13"/>
      <c r="CU74" s="5"/>
      <c r="CV74" s="14"/>
      <c r="CW74" s="13"/>
      <c r="CX74" s="5"/>
      <c r="CY74" s="14"/>
      <c r="CZ74" s="13"/>
      <c r="DA74" s="5"/>
      <c r="DB74" s="14"/>
      <c r="DC74" s="13"/>
      <c r="DD74" s="5"/>
      <c r="DE74" s="14"/>
      <c r="DF74" s="5"/>
      <c r="DG74" s="5"/>
      <c r="DH74" s="5"/>
      <c r="DN74" s="12"/>
    </row>
    <row r="75" spans="3:122" ht="11.25" customHeight="1" thickTop="1" x14ac:dyDescent="0.2">
      <c r="I75" s="50"/>
      <c r="J75" s="50">
        <f>L74-J74</f>
        <v>0</v>
      </c>
      <c r="K75" s="50"/>
      <c r="L75" s="50"/>
      <c r="M75" s="50"/>
      <c r="N75" s="50">
        <f>L74-N74</f>
        <v>0</v>
      </c>
      <c r="O75" s="50"/>
      <c r="P75" s="50">
        <f>L74-P74</f>
        <v>0</v>
      </c>
      <c r="Q75" s="50"/>
      <c r="R75" s="50">
        <f>L74-R74</f>
        <v>0</v>
      </c>
      <c r="S75" s="50"/>
      <c r="T75" s="50">
        <f>L74-T74</f>
        <v>0</v>
      </c>
      <c r="U75" s="50"/>
      <c r="V75" s="50">
        <f>L74-V74</f>
        <v>0</v>
      </c>
    </row>
    <row r="76" spans="3:122" ht="11.25" customHeight="1" x14ac:dyDescent="0.2">
      <c r="I76" s="139" t="str">
        <f>ß101</f>
        <v>Kropp</v>
      </c>
      <c r="J76" s="139"/>
      <c r="K76" s="139" t="str">
        <f>ß102</f>
        <v>Nörnberg</v>
      </c>
      <c r="L76" s="139"/>
      <c r="M76" s="139" t="str">
        <f>ß103</f>
        <v>Bübel</v>
      </c>
      <c r="N76" s="139"/>
      <c r="O76" s="139" t="str">
        <f>ß104</f>
        <v>Schwicht.</v>
      </c>
      <c r="P76" s="139"/>
      <c r="Q76" s="139" t="str">
        <f>ß105</f>
        <v>Rontzko.</v>
      </c>
      <c r="R76" s="139"/>
      <c r="S76" s="139" t="str">
        <f>ß106</f>
        <v>Hauschildt</v>
      </c>
      <c r="T76" s="139"/>
      <c r="U76" s="139" t="str">
        <f>ß107</f>
        <v>Zerres</v>
      </c>
      <c r="V76" s="139"/>
      <c r="AF76" s="11"/>
      <c r="AG76" s="11"/>
      <c r="AH76" s="11"/>
      <c r="AI76" s="11"/>
      <c r="AJ76" s="11"/>
      <c r="AL76" s="5" t="str">
        <f>IF($I89=$AL89,I76,"x")</f>
        <v>Kropp</v>
      </c>
      <c r="AM76" s="5" t="str">
        <f>IF($K89=$AL89,K76,"x")</f>
        <v>Nörnberg</v>
      </c>
      <c r="AN76" s="5" t="str">
        <f>IF($M89=$AL89,M76,"x")</f>
        <v>Bübel</v>
      </c>
      <c r="AO76" s="5" t="str">
        <f>IF($O89=$AL89,O76,"x")</f>
        <v>Schwicht.</v>
      </c>
      <c r="AP76" s="5" t="str">
        <f>IF($Q89=$AL89,Q76,"x")</f>
        <v>Rontzko.</v>
      </c>
      <c r="AQ76" s="5" t="str">
        <f>IF($S89=$AL89,S76,"x")</f>
        <v>Hauschildt</v>
      </c>
      <c r="AR76" s="5" t="str">
        <f>IF($U89=$AL89,U76,"x")</f>
        <v>Zerres</v>
      </c>
      <c r="AS76" s="13" t="str">
        <f>IF($I89=$AM89,I76,"x")</f>
        <v>Kropp</v>
      </c>
      <c r="AT76" s="5" t="str">
        <f>IF($K89=$AM89,K76,"x")</f>
        <v>Nörnberg</v>
      </c>
      <c r="AU76" s="5" t="str">
        <f>IF($M89=$AM89,M76,"x")</f>
        <v>Bübel</v>
      </c>
      <c r="AV76" s="5" t="str">
        <f>IF($O89=$AM89,O76,"x")</f>
        <v>Schwicht.</v>
      </c>
      <c r="AW76" s="5" t="str">
        <f>IF($Q89=$AM89,Q76,"x")</f>
        <v>Rontzko.</v>
      </c>
      <c r="AX76" s="5" t="str">
        <f>IF($S89=$AM89,S76,"x")</f>
        <v>Hauschildt</v>
      </c>
      <c r="AY76" s="5" t="str">
        <f>IF($U89=$AM89,U76,"x")</f>
        <v>Zerres</v>
      </c>
      <c r="BD76" s="140" t="str">
        <f>ß01</f>
        <v>Bayern</v>
      </c>
      <c r="BE76" s="140"/>
      <c r="BF76" s="140"/>
      <c r="BG76" s="141" t="str">
        <f>ß02</f>
        <v>Leipzig</v>
      </c>
      <c r="BH76" s="141"/>
      <c r="BI76" s="141"/>
      <c r="BJ76" s="141" t="str">
        <f>ß03</f>
        <v>Leverk.</v>
      </c>
      <c r="BK76" s="141"/>
      <c r="BL76" s="141"/>
      <c r="BM76" s="141" t="str">
        <f>ß04</f>
        <v>Hoffenheim</v>
      </c>
      <c r="BN76" s="141"/>
      <c r="BO76" s="141"/>
      <c r="BP76" s="141" t="str">
        <f>ß05</f>
        <v>Frankfurt</v>
      </c>
      <c r="BQ76" s="141"/>
      <c r="BR76" s="141"/>
      <c r="BS76" s="141" t="str">
        <f>ß06</f>
        <v>Werder</v>
      </c>
      <c r="BT76" s="141"/>
      <c r="BU76" s="141"/>
      <c r="BV76" s="141" t="str">
        <f>ß07</f>
        <v>Freiburg</v>
      </c>
      <c r="BW76" s="141"/>
      <c r="BX76" s="141"/>
      <c r="BY76" s="141" t="str">
        <f>ß08</f>
        <v>Augsburg</v>
      </c>
      <c r="BZ76" s="141"/>
      <c r="CA76" s="141"/>
      <c r="CB76" s="141" t="str">
        <f>ß09</f>
        <v>Mainz</v>
      </c>
      <c r="CC76" s="141"/>
      <c r="CD76" s="141"/>
      <c r="CE76" s="141" t="str">
        <f>ß10</f>
        <v>Köln</v>
      </c>
      <c r="CF76" s="141"/>
      <c r="CG76" s="141"/>
      <c r="CH76" s="141" t="str">
        <f>ß11</f>
        <v>M'gladb.</v>
      </c>
      <c r="CI76" s="141"/>
      <c r="CJ76" s="141"/>
      <c r="CK76" s="141" t="str">
        <f>ß12</f>
        <v>HSV</v>
      </c>
      <c r="CL76" s="141"/>
      <c r="CM76" s="141"/>
      <c r="CN76" s="141" t="str">
        <f>ß13</f>
        <v>Union</v>
      </c>
      <c r="CO76" s="141"/>
      <c r="CP76" s="141"/>
      <c r="CQ76" s="141" t="str">
        <f>ß14</f>
        <v>Stuttgart</v>
      </c>
      <c r="CR76" s="141"/>
      <c r="CS76" s="141"/>
      <c r="CT76" s="141" t="str">
        <f>ß15</f>
        <v>St. Pauli</v>
      </c>
      <c r="CU76" s="141"/>
      <c r="CV76" s="141"/>
      <c r="CW76" s="141" t="str">
        <f>ß16</f>
        <v>Dortmund</v>
      </c>
      <c r="CX76" s="141"/>
      <c r="CY76" s="141"/>
      <c r="CZ76" s="141" t="str">
        <f>ß17</f>
        <v>Heidenheim</v>
      </c>
      <c r="DA76" s="141"/>
      <c r="DB76" s="141"/>
      <c r="DC76" s="141" t="str">
        <f>ß18</f>
        <v>Wolfsburg</v>
      </c>
      <c r="DD76" s="141"/>
      <c r="DE76" s="141"/>
    </row>
    <row r="77" spans="3:122" ht="11.25" customHeight="1" x14ac:dyDescent="0.2">
      <c r="C77" s="16" t="str">
        <f>Mannschaften!F6</f>
        <v>6. Spieltag</v>
      </c>
      <c r="D77" s="11"/>
      <c r="E77" s="17" t="str">
        <f>Mannschaften!G6</f>
        <v>3.-5.10.25</v>
      </c>
      <c r="I77" s="19">
        <f>RANK(Rang!A6,Rang!A6:G6)</f>
        <v>1</v>
      </c>
      <c r="J77" s="20">
        <f>RANK(Rang!H6,Rang!H6:N6)</f>
        <v>1</v>
      </c>
      <c r="K77" s="19">
        <f>RANK(Rang!B6,Rang!A6:G6)</f>
        <v>1</v>
      </c>
      <c r="L77" s="20">
        <f>RANK(Rang!I6,Rang!H6:N6)</f>
        <v>1</v>
      </c>
      <c r="M77" s="19">
        <f>RANK(Rang!C6,Rang!A6:G6)</f>
        <v>1</v>
      </c>
      <c r="N77" s="20">
        <f>RANK(Rang!J6,Rang!H6:N6)</f>
        <v>1</v>
      </c>
      <c r="O77" s="19">
        <f>RANK(Rang!D6,Rang!A6:G6)</f>
        <v>1</v>
      </c>
      <c r="P77" s="20">
        <f>RANK(Rang!K6,Rang!H6:N6)</f>
        <v>1</v>
      </c>
      <c r="Q77" s="19">
        <f>RANK(Rang!E6,Rang!A6:G6)</f>
        <v>1</v>
      </c>
      <c r="R77" s="20">
        <f>RANK(Rang!L6,Rang!H6:N6)</f>
        <v>1</v>
      </c>
      <c r="S77" s="19">
        <f>RANK(Rang!F6,Rang!A6:G6)</f>
        <v>1</v>
      </c>
      <c r="T77" s="20">
        <f>RANK(Rang!M6,Rang!H6:N6)</f>
        <v>1</v>
      </c>
      <c r="U77" s="19">
        <f>RANK(Rang!G6,Rang!A6:G6)</f>
        <v>1</v>
      </c>
      <c r="V77" s="20">
        <f>RANK(Rang!N6,Rang!H6:N6)</f>
        <v>1</v>
      </c>
      <c r="AF77" s="22"/>
      <c r="AG77" s="22"/>
      <c r="AH77" s="22"/>
      <c r="AI77" s="22"/>
      <c r="AJ77" s="22"/>
      <c r="AK77" s="21"/>
      <c r="AL77" s="21"/>
      <c r="AM77" s="21"/>
      <c r="AN77" s="21"/>
      <c r="AO77" s="21"/>
      <c r="AP77" s="21"/>
      <c r="AQ77" s="21"/>
      <c r="AR77" s="21"/>
      <c r="AS77" s="24"/>
      <c r="AT77" s="21"/>
      <c r="AU77" s="21"/>
      <c r="AV77" s="21"/>
      <c r="AW77" s="21"/>
      <c r="AX77" s="21"/>
      <c r="AY77" s="21"/>
      <c r="AZ77" s="21"/>
      <c r="BA77" s="21"/>
      <c r="BB77" s="21"/>
      <c r="BD77" s="25" t="s">
        <v>4</v>
      </c>
      <c r="BE77" s="25" t="s">
        <v>5</v>
      </c>
      <c r="BF77" s="26" t="s">
        <v>6</v>
      </c>
      <c r="BG77" s="27" t="s">
        <v>4</v>
      </c>
      <c r="BH77" s="25" t="s">
        <v>5</v>
      </c>
      <c r="BI77" s="26" t="s">
        <v>6</v>
      </c>
      <c r="BJ77" s="27" t="s">
        <v>4</v>
      </c>
      <c r="BK77" s="25" t="s">
        <v>5</v>
      </c>
      <c r="BL77" s="26" t="s">
        <v>6</v>
      </c>
      <c r="BM77" s="27" t="s">
        <v>4</v>
      </c>
      <c r="BN77" s="25" t="s">
        <v>5</v>
      </c>
      <c r="BO77" s="26" t="s">
        <v>6</v>
      </c>
      <c r="BP77" s="27" t="s">
        <v>4</v>
      </c>
      <c r="BQ77" s="25" t="s">
        <v>5</v>
      </c>
      <c r="BR77" s="26" t="s">
        <v>6</v>
      </c>
      <c r="BS77" s="27" t="s">
        <v>4</v>
      </c>
      <c r="BT77" s="25" t="s">
        <v>5</v>
      </c>
      <c r="BU77" s="26" t="s">
        <v>6</v>
      </c>
      <c r="BV77" s="27" t="s">
        <v>4</v>
      </c>
      <c r="BW77" s="25" t="s">
        <v>5</v>
      </c>
      <c r="BX77" s="26" t="s">
        <v>6</v>
      </c>
      <c r="BY77" s="27" t="s">
        <v>4</v>
      </c>
      <c r="BZ77" s="25" t="s">
        <v>5</v>
      </c>
      <c r="CA77" s="26" t="s">
        <v>6</v>
      </c>
      <c r="CB77" s="27" t="s">
        <v>4</v>
      </c>
      <c r="CC77" s="25" t="s">
        <v>5</v>
      </c>
      <c r="CD77" s="26" t="s">
        <v>6</v>
      </c>
      <c r="CE77" s="27" t="s">
        <v>4</v>
      </c>
      <c r="CF77" s="25" t="s">
        <v>5</v>
      </c>
      <c r="CG77" s="26" t="s">
        <v>6</v>
      </c>
      <c r="CH77" s="27" t="s">
        <v>4</v>
      </c>
      <c r="CI77" s="25" t="s">
        <v>5</v>
      </c>
      <c r="CJ77" s="26" t="s">
        <v>6</v>
      </c>
      <c r="CK77" s="27" t="s">
        <v>4</v>
      </c>
      <c r="CL77" s="25" t="s">
        <v>5</v>
      </c>
      <c r="CM77" s="26" t="s">
        <v>6</v>
      </c>
      <c r="CN77" s="27" t="s">
        <v>4</v>
      </c>
      <c r="CO77" s="25" t="s">
        <v>5</v>
      </c>
      <c r="CP77" s="26" t="s">
        <v>6</v>
      </c>
      <c r="CQ77" s="27" t="s">
        <v>4</v>
      </c>
      <c r="CR77" s="25" t="s">
        <v>5</v>
      </c>
      <c r="CS77" s="26" t="s">
        <v>6</v>
      </c>
      <c r="CT77" s="27" t="s">
        <v>4</v>
      </c>
      <c r="CU77" s="25" t="s">
        <v>5</v>
      </c>
      <c r="CV77" s="26" t="s">
        <v>6</v>
      </c>
      <c r="CW77" s="27" t="s">
        <v>4</v>
      </c>
      <c r="CX77" s="25" t="s">
        <v>5</v>
      </c>
      <c r="CY77" s="26" t="s">
        <v>6</v>
      </c>
      <c r="CZ77" s="27" t="s">
        <v>4</v>
      </c>
      <c r="DA77" s="25" t="s">
        <v>5</v>
      </c>
      <c r="DB77" s="26" t="s">
        <v>6</v>
      </c>
      <c r="DC77" s="27" t="s">
        <v>4</v>
      </c>
      <c r="DD77" s="25" t="s">
        <v>5</v>
      </c>
      <c r="DE77" s="26" t="s">
        <v>6</v>
      </c>
      <c r="DF77" s="21"/>
      <c r="DG77" s="21"/>
      <c r="DH77" s="21"/>
      <c r="DN77" s="136" t="s">
        <v>7</v>
      </c>
      <c r="DO77" s="136"/>
      <c r="DP77" s="136" t="s">
        <v>8</v>
      </c>
      <c r="DQ77" s="136"/>
      <c r="DR77" s="28"/>
    </row>
    <row r="78" spans="3:122" ht="11.25" customHeight="1" x14ac:dyDescent="0.2">
      <c r="C78" s="2" t="str">
        <f>ß03</f>
        <v>Leverk.</v>
      </c>
      <c r="D78" s="3" t="s">
        <v>11</v>
      </c>
      <c r="E78" s="2" t="str">
        <f>ß13</f>
        <v>Union</v>
      </c>
      <c r="F78" s="29"/>
      <c r="G78" s="3" t="s">
        <v>12</v>
      </c>
      <c r="H78" s="30"/>
      <c r="I78" s="31"/>
      <c r="J78" s="32" t="str">
        <f t="shared" ref="J78:J86" si="75">IF($F78="","",(IF(I78="","",IF(I78=$DG78,(VLOOKUP($DH78,$DJ$3:$DK$11,2,FALSE())),0))))</f>
        <v/>
      </c>
      <c r="K78" s="31"/>
      <c r="L78" s="32" t="str">
        <f t="shared" ref="L78:L86" si="76">IF($F78="","",(IF(K78="","",IF(K78=$DG78,(VLOOKUP($DH78,$DJ$3:$DK$11,2,FALSE())),0))))</f>
        <v/>
      </c>
      <c r="M78" s="31"/>
      <c r="N78" s="32" t="str">
        <f t="shared" ref="N78:N86" si="77">IF($F78="","",(IF(M78="","",IF(M78=$DG78,(VLOOKUP($DH78,$DJ$3:$DK$11,2,FALSE())),0))))</f>
        <v/>
      </c>
      <c r="O78" s="31"/>
      <c r="P78" s="32" t="str">
        <f t="shared" ref="P78:P86" si="78">IF($F78="","",(IF(O78="","",IF(O78=$DG78,(VLOOKUP($DH78,$DJ$3:$DK$11,2,FALSE())),0))))</f>
        <v/>
      </c>
      <c r="Q78" s="31"/>
      <c r="R78" s="32" t="str">
        <f t="shared" ref="R78:R86" si="79">IF($F78="","",(IF(Q78="","",IF(Q78=$DG78,(VLOOKUP($DH78,$DJ$3:$DK$11,2,FALSE())),0))))</f>
        <v/>
      </c>
      <c r="S78" s="31"/>
      <c r="T78" s="32" t="str">
        <f t="shared" ref="T78:T86" si="80">IF($F78="","",(IF(S78="","",IF(S78=$DG78,(VLOOKUP($DH78,$DJ$3:$DK$11,2,FALSE())),0))))</f>
        <v/>
      </c>
      <c r="U78" s="31"/>
      <c r="V78" s="32" t="str">
        <f t="shared" ref="V78:V86" si="81">IF($F78="","",(IF(U78="","",IF(U78=$DG78,(VLOOKUP($DH78,$DJ$3:$DK$11,2,FALSE())),0))))</f>
        <v/>
      </c>
      <c r="AF78" s="34"/>
      <c r="AG78" s="34"/>
      <c r="AH78" s="34"/>
      <c r="AI78" s="34"/>
      <c r="AJ78" s="34"/>
      <c r="AN78" s="5"/>
      <c r="AO78" s="5"/>
      <c r="AP78" s="5"/>
      <c r="AQ78" s="5"/>
      <c r="AR78" s="5"/>
      <c r="AS78" s="13"/>
      <c r="AT78" s="5"/>
      <c r="AU78" s="5"/>
      <c r="AV78" s="5"/>
      <c r="AW78" s="5"/>
      <c r="AX78" s="5"/>
      <c r="AY78" s="5"/>
      <c r="BC78" s="6">
        <v>77</v>
      </c>
      <c r="BD78" s="35" t="str">
        <f>IF(ISERROR(MATCH(ß01,$C78:$C86,0)),"",MATCH(ß01,$C78:$C86,0))</f>
        <v/>
      </c>
      <c r="BE78" s="35">
        <f>IF(ISERROR(MATCH(ß01,$E78:$E86,0)),"",MATCH(ß01,$E78:$E86,0))</f>
        <v>2</v>
      </c>
      <c r="BF78" s="15">
        <f>SUM(BD78:BE78)+BC78</f>
        <v>79</v>
      </c>
      <c r="BG78" s="36" t="str">
        <f>IF(ISERROR(MATCH(ß02,$C78:$C86,0)),"",MATCH(ß02,$C78:$C86,0))</f>
        <v/>
      </c>
      <c r="BH78" s="35">
        <f>IF(ISERROR(MATCH(ß02,$E78:$E86,0)),"",MATCH(ß02,$E78:$E86,0))</f>
        <v>3</v>
      </c>
      <c r="BI78" s="15">
        <f>SUM(BG78:BH78)+BC78</f>
        <v>80</v>
      </c>
      <c r="BJ78" s="36">
        <f>IF(ISERROR(MATCH(ß03,$C78:$C86,0)),"",MATCH(ß03,$C78:$C86,0))</f>
        <v>1</v>
      </c>
      <c r="BK78" s="35" t="str">
        <f>IF(ISERROR(MATCH(ß03,$E78:$E86,0)),"",MATCH(ß03,$E78:$E86,0))</f>
        <v/>
      </c>
      <c r="BL78" s="15">
        <f>SUM(BJ78:BK78)+BC78</f>
        <v>78</v>
      </c>
      <c r="BM78" s="36">
        <f>IF(ISERROR(MATCH(ß04,$C78:$C86,0)),"",MATCH(ß04,$C78:$C86,0))</f>
        <v>8</v>
      </c>
      <c r="BN78" s="35" t="str">
        <f>IF(ISERROR(MATCH(ß04,$E78:$E86,0)),"",MATCH(ß04,$E78:$E86,0))</f>
        <v/>
      </c>
      <c r="BO78" s="15">
        <f>SUM(BM78:BN78)+BC78</f>
        <v>85</v>
      </c>
      <c r="BP78" s="36">
        <f>IF(ISERROR(MATCH(ß05,$C78:$C86,0)),"",MATCH(ß05,$C78:$C86,0))</f>
        <v>2</v>
      </c>
      <c r="BQ78" s="35" t="str">
        <f>IF(ISERROR(MATCH(ß05,$E78:$E86,0)),"",MATCH(ß05,$E78:$E86,0))</f>
        <v/>
      </c>
      <c r="BR78" s="15">
        <f>SUM(BP78:BQ78)+BC78</f>
        <v>79</v>
      </c>
      <c r="BS78" s="36">
        <f>IF(ISERROR(MATCH(ß06,$C78:$C86,0)),"",MATCH(ß06,$C78:$C86,0))</f>
        <v>4</v>
      </c>
      <c r="BT78" s="35" t="str">
        <f>IF(ISERROR(MATCH(ß06,$E78:$E86,0)),"",MATCH(ß06,$E78:$E86,0))</f>
        <v/>
      </c>
      <c r="BU78" s="15">
        <f>SUM(BS78:BT78)+BC78</f>
        <v>81</v>
      </c>
      <c r="BV78" s="36" t="str">
        <f>IF(ISERROR(MATCH(ß07,$C78:$C86,0)),"",MATCH(ß07,$C78:$C86,0))</f>
        <v/>
      </c>
      <c r="BW78" s="35">
        <f>IF(ISERROR(MATCH(ß07,$E78:$E86,0)),"",MATCH(ß07,$E78:$E86,0))</f>
        <v>6</v>
      </c>
      <c r="BX78" s="15">
        <f>SUM(BV78:BW78)+BC78</f>
        <v>83</v>
      </c>
      <c r="BY78" s="36">
        <f>IF(ISERROR(MATCH(ß08,$C78:$C86,0)),"",MATCH(ß08,$C78:$C86,0))</f>
        <v>7</v>
      </c>
      <c r="BZ78" s="35" t="str">
        <f>IF(ISERROR(MATCH(ß08,$E78:$E86,0)),"",MATCH(ß08,$E78:$E86,0))</f>
        <v/>
      </c>
      <c r="CA78" s="15">
        <f>SUM(BY78:BZ78)+BC78</f>
        <v>84</v>
      </c>
      <c r="CB78" s="36" t="str">
        <f>IF(ISERROR(MATCH(ß09,$C78:$C86,0)),"",MATCH(ß09,$C78:$C86,0))</f>
        <v/>
      </c>
      <c r="CC78" s="35">
        <f>IF(ISERROR(MATCH(ß09,$E78:$E86,0)),"",MATCH(ß09,$E78:$E86,0))</f>
        <v>9</v>
      </c>
      <c r="CD78" s="15">
        <f>SUM(CB78:CC78)+BC78</f>
        <v>86</v>
      </c>
      <c r="CE78" s="36" t="str">
        <f>IF(ISERROR(MATCH(ß10,$C78:$C86,0)),"",MATCH(ß10,$C78:$C86,0))</f>
        <v/>
      </c>
      <c r="CF78" s="35">
        <f>IF(ISERROR(MATCH(ß10,$E78:$E86,0)),"",MATCH(ß10,$E78:$E86,0))</f>
        <v>8</v>
      </c>
      <c r="CG78" s="15">
        <f>SUM(CE78:CF78)+BC78</f>
        <v>85</v>
      </c>
      <c r="CH78" s="36">
        <f>IF(ISERROR(MATCH(ß11,$C78:$C86,0)),"",MATCH(ß11,$C78:$C86,0))</f>
        <v>6</v>
      </c>
      <c r="CI78" s="35" t="str">
        <f>IF(ISERROR(MATCH(ß11,$E78:$E86,0)),"",MATCH(ß11,$E78:$E86,0))</f>
        <v/>
      </c>
      <c r="CJ78" s="15">
        <f>SUM(CH78:CI78)+BC78</f>
        <v>83</v>
      </c>
      <c r="CK78" s="36">
        <f>IF(ISERROR(MATCH(ß12,$C78:$C86,0)),"",MATCH(ß12,$C78:$C86,0))</f>
        <v>9</v>
      </c>
      <c r="CL78" s="35" t="str">
        <f>IF(ISERROR(MATCH(ß12,$E78:$E86,0)),"",MATCH(ß12,$E78:$E86,0))</f>
        <v/>
      </c>
      <c r="CM78" s="15">
        <f>SUM(CK78:CL78)+BC78</f>
        <v>86</v>
      </c>
      <c r="CN78" s="36" t="str">
        <f>IF(ISERROR(MATCH(ß13,$C78:$C86,0)),"",MATCH(ß13,$C78:$C86,0))</f>
        <v/>
      </c>
      <c r="CO78" s="35">
        <f>IF(ISERROR(MATCH(ß13,$E78:$E86,0)),"",MATCH(ß13,$E78:$E86,0))</f>
        <v>1</v>
      </c>
      <c r="CP78" s="15">
        <f>SUM(CN78:CO78)+BC78</f>
        <v>78</v>
      </c>
      <c r="CQ78" s="36">
        <f>IF(ISERROR(MATCH(ß14,$C78:$C86,0)),"",MATCH(ß14,$C78:$C86,0))</f>
        <v>5</v>
      </c>
      <c r="CR78" s="35" t="str">
        <f>IF(ISERROR(MATCH(ß14,$E78:$E86,0)),"",MATCH(ß14,$E78:$E86,0))</f>
        <v/>
      </c>
      <c r="CS78" s="15">
        <f>SUM(CQ78:CR78)+BC78</f>
        <v>82</v>
      </c>
      <c r="CT78" s="36" t="str">
        <f>IF(ISERROR(MATCH(ß15,$C78:$C86,0)),"",MATCH(ß15,$C78:$C86,0))</f>
        <v/>
      </c>
      <c r="CU78" s="35">
        <f>IF(ISERROR(MATCH(ß15,$E78:$E86,0)),"",MATCH(ß15,$E78:$E86,0))</f>
        <v>4</v>
      </c>
      <c r="CV78" s="15">
        <f>SUM(CT78:CU78)+BC78</f>
        <v>81</v>
      </c>
      <c r="CW78" s="36">
        <f>IF(ISERROR(MATCH(ß16,$C78:$C86,0)),"",MATCH(ß16,$C78:$C86,0))</f>
        <v>3</v>
      </c>
      <c r="CX78" s="35" t="str">
        <f>IF(ISERROR(MATCH(ß16,$E78:$E86,0)),"",MATCH(ß16,$E78:$E86,0))</f>
        <v/>
      </c>
      <c r="CY78" s="15">
        <f>SUM(CW78:CX78)+BC78</f>
        <v>80</v>
      </c>
      <c r="CZ78" s="36" t="str">
        <f>IF(ISERROR(MATCH(ß17,$C78:$C86,0)),"",MATCH(ß17,$C78:$C86,0))</f>
        <v/>
      </c>
      <c r="DA78" s="35">
        <f>IF(ISERROR(MATCH(ß17,$E78:$E86,0)),"",MATCH(ß17,$E78:$E86,0))</f>
        <v>5</v>
      </c>
      <c r="DB78" s="15">
        <f>SUM(CZ78:DA78)+BC78</f>
        <v>82</v>
      </c>
      <c r="DC78" s="36" t="str">
        <f>IF(ISERROR(MATCH(ß18,$C78:$C86,0)),"",MATCH(ß18,$C78:$C86,0))</f>
        <v/>
      </c>
      <c r="DD78" s="35">
        <f>IF(ISERROR(MATCH(ß18,$E78:$E86,0)),"",MATCH(ß18,$E78:$E86,0))</f>
        <v>7</v>
      </c>
      <c r="DE78" s="15">
        <f>SUM(DC78:DD78)+BC78</f>
        <v>84</v>
      </c>
      <c r="DG78" s="8" t="str">
        <f t="shared" ref="DG78:DG86" si="82">IF(F78="","",(IF(F78=H78,0,IF(F78&gt;H78,1,IF(F78&lt;H78,2)))))</f>
        <v/>
      </c>
      <c r="DH78" s="3">
        <f>COUNTIF(I78,DG78)+COUNTIF(K78,DG78)+COUNTIF(M78,DG78)+COUNTIF(O78,DG78)+COUNTIF(Q78,DG78)+COUNTIF(S78,DG78)+COUNTIF(U78,DG78)</f>
        <v>7</v>
      </c>
      <c r="DN78" s="12">
        <f t="shared" ref="DN78:DN86" si="83">F78</f>
        <v>0</v>
      </c>
      <c r="DO78" s="5">
        <f t="shared" ref="DO78:DO86" si="84">H78</f>
        <v>0</v>
      </c>
      <c r="DP78" s="5" t="str">
        <f t="shared" ref="DP78:DP86" si="85">IF($F78="","",IF(DN78&gt;DO78,3,IF(DN78&lt;DO78,0,1)))</f>
        <v/>
      </c>
      <c r="DQ78" s="5" t="str">
        <f t="shared" ref="DQ78:DQ86" si="86">IF($H78="","",IF(DO78&gt;DN78,3,IF(DO78&lt;DN78,0,1)))</f>
        <v/>
      </c>
      <c r="DR78" s="5">
        <f t="shared" ref="DR78:DR86" si="87">IF(ISBLANK(F78),0,1)</f>
        <v>0</v>
      </c>
    </row>
    <row r="79" spans="3:122" ht="11.25" customHeight="1" x14ac:dyDescent="0.2">
      <c r="C79" s="2" t="str">
        <f>ß05</f>
        <v>Frankfurt</v>
      </c>
      <c r="D79" s="3" t="s">
        <v>11</v>
      </c>
      <c r="E79" s="2" t="str">
        <f>ß01</f>
        <v>Bayern</v>
      </c>
      <c r="F79" s="29"/>
      <c r="G79" s="3" t="s">
        <v>12</v>
      </c>
      <c r="H79" s="30"/>
      <c r="I79" s="37"/>
      <c r="J79" s="38" t="str">
        <f t="shared" si="75"/>
        <v/>
      </c>
      <c r="K79" s="37"/>
      <c r="L79" s="38" t="str">
        <f t="shared" si="76"/>
        <v/>
      </c>
      <c r="M79" s="37"/>
      <c r="N79" s="38" t="str">
        <f t="shared" si="77"/>
        <v/>
      </c>
      <c r="O79" s="37"/>
      <c r="P79" s="38" t="str">
        <f t="shared" si="78"/>
        <v/>
      </c>
      <c r="Q79" s="37"/>
      <c r="R79" s="38" t="str">
        <f t="shared" si="79"/>
        <v/>
      </c>
      <c r="S79" s="37"/>
      <c r="T79" s="38" t="str">
        <f t="shared" si="80"/>
        <v/>
      </c>
      <c r="U79" s="37"/>
      <c r="V79" s="38" t="str">
        <f t="shared" si="81"/>
        <v/>
      </c>
      <c r="AF79" s="34"/>
      <c r="AG79" s="34"/>
      <c r="AH79" s="34"/>
      <c r="AI79" s="34"/>
      <c r="AJ79" s="34"/>
      <c r="DG79" s="8" t="str">
        <f t="shared" si="82"/>
        <v/>
      </c>
      <c r="DH79" s="3">
        <f t="shared" ref="DH79:DH86" si="88">COUNTIF(I79,DG79)+COUNTIF(K79,DG79)+COUNTIF(M79,DG79)+COUNTIF(O79,DG79)+COUNTIF(Q79,DG79)+COUNTIF(S79,DG79)+COUNTIF(U79,DG79)</f>
        <v>7</v>
      </c>
      <c r="DN79" s="12">
        <f t="shared" si="83"/>
        <v>0</v>
      </c>
      <c r="DO79" s="5">
        <f t="shared" si="84"/>
        <v>0</v>
      </c>
      <c r="DP79" s="5" t="str">
        <f t="shared" si="85"/>
        <v/>
      </c>
      <c r="DQ79" s="5" t="str">
        <f t="shared" si="86"/>
        <v/>
      </c>
      <c r="DR79" s="5">
        <f t="shared" si="87"/>
        <v>0</v>
      </c>
    </row>
    <row r="80" spans="3:122" ht="11.25" customHeight="1" x14ac:dyDescent="0.2">
      <c r="C80" s="2" t="str">
        <f>ß16</f>
        <v>Dortmund</v>
      </c>
      <c r="D80" s="3" t="s">
        <v>11</v>
      </c>
      <c r="E80" s="2" t="str">
        <f>ß02</f>
        <v>Leipzig</v>
      </c>
      <c r="F80" s="29"/>
      <c r="G80" s="3" t="s">
        <v>12</v>
      </c>
      <c r="H80" s="30"/>
      <c r="I80" s="37"/>
      <c r="J80" s="38" t="str">
        <f t="shared" si="75"/>
        <v/>
      </c>
      <c r="K80" s="37"/>
      <c r="L80" s="38" t="str">
        <f t="shared" si="76"/>
        <v/>
      </c>
      <c r="M80" s="37"/>
      <c r="N80" s="38" t="str">
        <f t="shared" si="77"/>
        <v/>
      </c>
      <c r="O80" s="37"/>
      <c r="P80" s="38" t="str">
        <f t="shared" si="78"/>
        <v/>
      </c>
      <c r="Q80" s="37"/>
      <c r="R80" s="38" t="str">
        <f t="shared" si="79"/>
        <v/>
      </c>
      <c r="S80" s="37"/>
      <c r="T80" s="38" t="str">
        <f t="shared" si="80"/>
        <v/>
      </c>
      <c r="U80" s="37"/>
      <c r="V80" s="38" t="str">
        <f t="shared" si="81"/>
        <v/>
      </c>
      <c r="AF80" s="34"/>
      <c r="AG80" s="34"/>
      <c r="AH80" s="34"/>
      <c r="AI80" s="34"/>
      <c r="AJ80" s="34"/>
      <c r="DG80" s="8" t="str">
        <f t="shared" si="82"/>
        <v/>
      </c>
      <c r="DH80" s="3">
        <f t="shared" si="88"/>
        <v>7</v>
      </c>
      <c r="DN80" s="12">
        <f t="shared" si="83"/>
        <v>0</v>
      </c>
      <c r="DO80" s="5">
        <f t="shared" si="84"/>
        <v>0</v>
      </c>
      <c r="DP80" s="5" t="str">
        <f t="shared" si="85"/>
        <v/>
      </c>
      <c r="DQ80" s="5" t="str">
        <f t="shared" si="86"/>
        <v/>
      </c>
      <c r="DR80" s="5">
        <f t="shared" si="87"/>
        <v>0</v>
      </c>
    </row>
    <row r="81" spans="1:122" ht="11.25" customHeight="1" x14ac:dyDescent="0.2">
      <c r="C81" s="2" t="str">
        <f>ß06</f>
        <v>Werder</v>
      </c>
      <c r="D81" s="3" t="s">
        <v>11</v>
      </c>
      <c r="E81" s="2" t="str">
        <f>ß15</f>
        <v>St. Pauli</v>
      </c>
      <c r="F81" s="29"/>
      <c r="G81" s="3" t="s">
        <v>12</v>
      </c>
      <c r="H81" s="30"/>
      <c r="I81" s="37"/>
      <c r="J81" s="38" t="str">
        <f t="shared" si="75"/>
        <v/>
      </c>
      <c r="K81" s="37"/>
      <c r="L81" s="38" t="str">
        <f t="shared" si="76"/>
        <v/>
      </c>
      <c r="M81" s="37"/>
      <c r="N81" s="38" t="str">
        <f t="shared" si="77"/>
        <v/>
      </c>
      <c r="O81" s="37"/>
      <c r="P81" s="38" t="str">
        <f t="shared" si="78"/>
        <v/>
      </c>
      <c r="Q81" s="37"/>
      <c r="R81" s="38" t="str">
        <f t="shared" si="79"/>
        <v/>
      </c>
      <c r="S81" s="37"/>
      <c r="T81" s="38" t="str">
        <f t="shared" si="80"/>
        <v/>
      </c>
      <c r="U81" s="37"/>
      <c r="V81" s="38" t="str">
        <f t="shared" si="81"/>
        <v/>
      </c>
      <c r="AF81" s="34"/>
      <c r="AG81" s="34"/>
      <c r="AH81" s="34"/>
      <c r="AI81" s="34"/>
      <c r="AJ81" s="34"/>
      <c r="DG81" s="8" t="str">
        <f t="shared" si="82"/>
        <v/>
      </c>
      <c r="DH81" s="3">
        <f t="shared" si="88"/>
        <v>7</v>
      </c>
      <c r="DN81" s="12">
        <f t="shared" si="83"/>
        <v>0</v>
      </c>
      <c r="DO81" s="5">
        <f t="shared" si="84"/>
        <v>0</v>
      </c>
      <c r="DP81" s="5" t="str">
        <f t="shared" si="85"/>
        <v/>
      </c>
      <c r="DQ81" s="5" t="str">
        <f t="shared" si="86"/>
        <v/>
      </c>
      <c r="DR81" s="5">
        <f t="shared" si="87"/>
        <v>0</v>
      </c>
    </row>
    <row r="82" spans="1:122" ht="11.25" customHeight="1" x14ac:dyDescent="0.2">
      <c r="C82" s="2" t="str">
        <f>ß14</f>
        <v>Stuttgart</v>
      </c>
      <c r="D82" s="3" t="s">
        <v>11</v>
      </c>
      <c r="E82" s="2" t="str">
        <f>ß17</f>
        <v>Heidenheim</v>
      </c>
      <c r="F82" s="29"/>
      <c r="G82" s="3" t="s">
        <v>12</v>
      </c>
      <c r="H82" s="30"/>
      <c r="I82" s="37"/>
      <c r="J82" s="38" t="str">
        <f t="shared" si="75"/>
        <v/>
      </c>
      <c r="K82" s="37"/>
      <c r="L82" s="38" t="str">
        <f t="shared" si="76"/>
        <v/>
      </c>
      <c r="M82" s="37"/>
      <c r="N82" s="38" t="str">
        <f t="shared" si="77"/>
        <v/>
      </c>
      <c r="O82" s="37"/>
      <c r="P82" s="38" t="str">
        <f t="shared" si="78"/>
        <v/>
      </c>
      <c r="Q82" s="37"/>
      <c r="R82" s="38" t="str">
        <f t="shared" si="79"/>
        <v/>
      </c>
      <c r="S82" s="37"/>
      <c r="T82" s="38" t="str">
        <f t="shared" si="80"/>
        <v/>
      </c>
      <c r="U82" s="37"/>
      <c r="V82" s="38" t="str">
        <f t="shared" si="81"/>
        <v/>
      </c>
      <c r="AF82" s="34"/>
      <c r="AG82" s="34"/>
      <c r="AH82" s="34"/>
      <c r="AI82" s="34"/>
      <c r="AJ82" s="34"/>
      <c r="DG82" s="8" t="str">
        <f t="shared" si="82"/>
        <v/>
      </c>
      <c r="DH82" s="3">
        <f t="shared" si="88"/>
        <v>7</v>
      </c>
      <c r="DN82" s="12">
        <f t="shared" si="83"/>
        <v>0</v>
      </c>
      <c r="DO82" s="5">
        <f t="shared" si="84"/>
        <v>0</v>
      </c>
      <c r="DP82" s="5" t="str">
        <f t="shared" si="85"/>
        <v/>
      </c>
      <c r="DQ82" s="5" t="str">
        <f t="shared" si="86"/>
        <v/>
      </c>
      <c r="DR82" s="5">
        <f t="shared" si="87"/>
        <v>0</v>
      </c>
    </row>
    <row r="83" spans="1:122" ht="11.25" customHeight="1" x14ac:dyDescent="0.2">
      <c r="C83" s="2" t="str">
        <f>ß11</f>
        <v>M'gladb.</v>
      </c>
      <c r="D83" s="3" t="s">
        <v>11</v>
      </c>
      <c r="E83" s="2" t="str">
        <f>ß07</f>
        <v>Freiburg</v>
      </c>
      <c r="F83" s="29"/>
      <c r="G83" s="3" t="s">
        <v>12</v>
      </c>
      <c r="H83" s="30"/>
      <c r="I83" s="37"/>
      <c r="J83" s="38" t="str">
        <f t="shared" si="75"/>
        <v/>
      </c>
      <c r="K83" s="37"/>
      <c r="L83" s="38" t="str">
        <f t="shared" si="76"/>
        <v/>
      </c>
      <c r="M83" s="37"/>
      <c r="N83" s="38" t="str">
        <f t="shared" si="77"/>
        <v/>
      </c>
      <c r="O83" s="37"/>
      <c r="P83" s="38" t="str">
        <f t="shared" si="78"/>
        <v/>
      </c>
      <c r="Q83" s="37"/>
      <c r="R83" s="38" t="str">
        <f t="shared" si="79"/>
        <v/>
      </c>
      <c r="S83" s="37"/>
      <c r="T83" s="38" t="str">
        <f t="shared" si="80"/>
        <v/>
      </c>
      <c r="U83" s="37"/>
      <c r="V83" s="38" t="str">
        <f t="shared" si="81"/>
        <v/>
      </c>
      <c r="AF83" s="34"/>
      <c r="AG83" s="34"/>
      <c r="AH83" s="34"/>
      <c r="AI83" s="34"/>
      <c r="AJ83" s="34"/>
      <c r="DG83" s="8" t="str">
        <f t="shared" si="82"/>
        <v/>
      </c>
      <c r="DH83" s="3">
        <f t="shared" si="88"/>
        <v>7</v>
      </c>
      <c r="DN83" s="12">
        <f t="shared" si="83"/>
        <v>0</v>
      </c>
      <c r="DO83" s="5">
        <f t="shared" si="84"/>
        <v>0</v>
      </c>
      <c r="DP83" s="5" t="str">
        <f t="shared" si="85"/>
        <v/>
      </c>
      <c r="DQ83" s="5" t="str">
        <f t="shared" si="86"/>
        <v/>
      </c>
      <c r="DR83" s="5">
        <f t="shared" si="87"/>
        <v>0</v>
      </c>
    </row>
    <row r="84" spans="1:122" ht="11.25" customHeight="1" x14ac:dyDescent="0.2">
      <c r="C84" s="2" t="str">
        <f>ß08</f>
        <v>Augsburg</v>
      </c>
      <c r="D84" s="3" t="s">
        <v>11</v>
      </c>
      <c r="E84" s="2" t="str">
        <f>ß18</f>
        <v>Wolfsburg</v>
      </c>
      <c r="F84" s="29"/>
      <c r="G84" s="3" t="s">
        <v>12</v>
      </c>
      <c r="H84" s="30"/>
      <c r="I84" s="37"/>
      <c r="J84" s="38" t="str">
        <f t="shared" si="75"/>
        <v/>
      </c>
      <c r="K84" s="37"/>
      <c r="L84" s="38" t="str">
        <f t="shared" si="76"/>
        <v/>
      </c>
      <c r="M84" s="37"/>
      <c r="N84" s="38" t="str">
        <f t="shared" si="77"/>
        <v/>
      </c>
      <c r="O84" s="37"/>
      <c r="P84" s="38" t="str">
        <f t="shared" si="78"/>
        <v/>
      </c>
      <c r="Q84" s="37"/>
      <c r="R84" s="38" t="str">
        <f t="shared" si="79"/>
        <v/>
      </c>
      <c r="S84" s="37"/>
      <c r="T84" s="38" t="str">
        <f t="shared" si="80"/>
        <v/>
      </c>
      <c r="U84" s="37"/>
      <c r="V84" s="38" t="str">
        <f t="shared" si="81"/>
        <v/>
      </c>
      <c r="AF84" s="34"/>
      <c r="AG84" s="34"/>
      <c r="AH84" s="34"/>
      <c r="AI84" s="34"/>
      <c r="AJ84" s="34"/>
      <c r="DG84" s="8" t="str">
        <f t="shared" si="82"/>
        <v/>
      </c>
      <c r="DH84" s="3">
        <f t="shared" si="88"/>
        <v>7</v>
      </c>
      <c r="DN84" s="12">
        <f t="shared" si="83"/>
        <v>0</v>
      </c>
      <c r="DO84" s="5">
        <f t="shared" si="84"/>
        <v>0</v>
      </c>
      <c r="DP84" s="5" t="str">
        <f t="shared" si="85"/>
        <v/>
      </c>
      <c r="DQ84" s="5" t="str">
        <f t="shared" si="86"/>
        <v/>
      </c>
      <c r="DR84" s="5">
        <f t="shared" si="87"/>
        <v>0</v>
      </c>
    </row>
    <row r="85" spans="1:122" ht="11.25" customHeight="1" x14ac:dyDescent="0.2">
      <c r="C85" s="2" t="str">
        <f>ß04</f>
        <v>Hoffenheim</v>
      </c>
      <c r="D85" s="3" t="s">
        <v>11</v>
      </c>
      <c r="E85" s="2" t="str">
        <f>ß10</f>
        <v>Köln</v>
      </c>
      <c r="F85" s="29"/>
      <c r="G85" s="3" t="s">
        <v>12</v>
      </c>
      <c r="H85" s="30"/>
      <c r="I85" s="37"/>
      <c r="J85" s="38" t="str">
        <f t="shared" si="75"/>
        <v/>
      </c>
      <c r="K85" s="37"/>
      <c r="L85" s="38" t="str">
        <f t="shared" si="76"/>
        <v/>
      </c>
      <c r="M85" s="37"/>
      <c r="N85" s="38" t="str">
        <f t="shared" si="77"/>
        <v/>
      </c>
      <c r="O85" s="37"/>
      <c r="P85" s="38" t="str">
        <f t="shared" si="78"/>
        <v/>
      </c>
      <c r="Q85" s="37"/>
      <c r="R85" s="38" t="str">
        <f t="shared" si="79"/>
        <v/>
      </c>
      <c r="S85" s="37"/>
      <c r="T85" s="38" t="str">
        <f t="shared" si="80"/>
        <v/>
      </c>
      <c r="U85" s="37"/>
      <c r="V85" s="38" t="str">
        <f t="shared" si="81"/>
        <v/>
      </c>
      <c r="AF85" s="34"/>
      <c r="AG85" s="34"/>
      <c r="AH85" s="34"/>
      <c r="AI85" s="34"/>
      <c r="AJ85" s="34"/>
      <c r="DG85" s="8" t="str">
        <f t="shared" si="82"/>
        <v/>
      </c>
      <c r="DH85" s="3">
        <f t="shared" si="88"/>
        <v>7</v>
      </c>
      <c r="DN85" s="12">
        <f t="shared" si="83"/>
        <v>0</v>
      </c>
      <c r="DO85" s="5">
        <f t="shared" si="84"/>
        <v>0</v>
      </c>
      <c r="DP85" s="5" t="str">
        <f t="shared" si="85"/>
        <v/>
      </c>
      <c r="DQ85" s="5" t="str">
        <f t="shared" si="86"/>
        <v/>
      </c>
      <c r="DR85" s="5">
        <f t="shared" si="87"/>
        <v>0</v>
      </c>
    </row>
    <row r="86" spans="1:122" ht="11.25" customHeight="1" thickBot="1" x14ac:dyDescent="0.25">
      <c r="C86" s="2" t="str">
        <f>ß12</f>
        <v>HSV</v>
      </c>
      <c r="D86" s="3" t="s">
        <v>11</v>
      </c>
      <c r="E86" s="2" t="str">
        <f>ß09</f>
        <v>Mainz</v>
      </c>
      <c r="F86" s="29"/>
      <c r="G86" s="3" t="s">
        <v>12</v>
      </c>
      <c r="H86" s="30"/>
      <c r="I86" s="37"/>
      <c r="J86" s="38" t="str">
        <f t="shared" si="75"/>
        <v/>
      </c>
      <c r="K86" s="37"/>
      <c r="L86" s="38" t="str">
        <f t="shared" si="76"/>
        <v/>
      </c>
      <c r="M86" s="37"/>
      <c r="N86" s="38" t="str">
        <f t="shared" si="77"/>
        <v/>
      </c>
      <c r="O86" s="37"/>
      <c r="P86" s="38" t="str">
        <f t="shared" si="78"/>
        <v/>
      </c>
      <c r="Q86" s="37"/>
      <c r="R86" s="38" t="str">
        <f t="shared" si="79"/>
        <v/>
      </c>
      <c r="S86" s="37"/>
      <c r="T86" s="38" t="str">
        <f t="shared" si="80"/>
        <v/>
      </c>
      <c r="U86" s="37"/>
      <c r="V86" s="38" t="str">
        <f t="shared" si="81"/>
        <v/>
      </c>
      <c r="AF86" s="34"/>
      <c r="AG86" s="34"/>
      <c r="AH86" s="34"/>
      <c r="AI86" s="34"/>
      <c r="AJ86" s="34"/>
      <c r="DG86" s="8" t="str">
        <f t="shared" si="82"/>
        <v/>
      </c>
      <c r="DH86" s="3">
        <f t="shared" si="88"/>
        <v>7</v>
      </c>
      <c r="DN86" s="12">
        <f t="shared" si="83"/>
        <v>0</v>
      </c>
      <c r="DO86" s="5">
        <f t="shared" si="84"/>
        <v>0</v>
      </c>
      <c r="DP86" s="5" t="str">
        <f t="shared" si="85"/>
        <v/>
      </c>
      <c r="DQ86" s="5" t="str">
        <f t="shared" si="86"/>
        <v/>
      </c>
      <c r="DR86" s="5">
        <f t="shared" si="87"/>
        <v>0</v>
      </c>
    </row>
    <row r="87" spans="1:122" ht="11.25" customHeight="1" thickTop="1" x14ac:dyDescent="0.2">
      <c r="C87" s="41">
        <f>(I87+K87+M87+O87+Q87+S87+U87)</f>
        <v>0</v>
      </c>
      <c r="E87" s="42">
        <f>C87/8</f>
        <v>0</v>
      </c>
      <c r="F87" s="41">
        <f>SUM(F78:F86)</f>
        <v>0</v>
      </c>
      <c r="G87" s="2"/>
      <c r="H87" s="43">
        <f>SUM(H78:H86)</f>
        <v>0</v>
      </c>
      <c r="I87" s="44">
        <f>COUNTIF(J78:J86,"&gt;0")</f>
        <v>0</v>
      </c>
      <c r="J87" s="45">
        <f>I87+J72</f>
        <v>0</v>
      </c>
      <c r="K87" s="44">
        <f>COUNTIF(L78:L86,"&gt;0")</f>
        <v>0</v>
      </c>
      <c r="L87" s="45">
        <f>K87+L72</f>
        <v>0</v>
      </c>
      <c r="M87" s="44">
        <f>COUNTIF(N78:N86,"&gt;0")</f>
        <v>0</v>
      </c>
      <c r="N87" s="45">
        <f>M87+N72</f>
        <v>0</v>
      </c>
      <c r="O87" s="44">
        <f>COUNTIF(P78:P86,"&gt;0")</f>
        <v>0</v>
      </c>
      <c r="P87" s="45">
        <f>O87+P72</f>
        <v>0</v>
      </c>
      <c r="Q87" s="44">
        <f>COUNTIF(R78:R86,"&gt;0")</f>
        <v>0</v>
      </c>
      <c r="R87" s="45">
        <f>Q87+R72</f>
        <v>0</v>
      </c>
      <c r="S87" s="44">
        <f>COUNTIF(T78:T86,"&gt;0")</f>
        <v>0</v>
      </c>
      <c r="T87" s="45">
        <f>S87+T72</f>
        <v>0</v>
      </c>
      <c r="U87" s="44">
        <f>COUNTIF(V78:V86,"&gt;0")</f>
        <v>0</v>
      </c>
      <c r="V87" s="45">
        <f>U87+V72</f>
        <v>0</v>
      </c>
      <c r="AF87" s="34"/>
      <c r="AG87" s="34"/>
      <c r="AH87" s="34"/>
      <c r="AI87" s="34"/>
      <c r="AJ87" s="34"/>
    </row>
    <row r="88" spans="1:122" ht="11.25" customHeight="1" x14ac:dyDescent="0.2">
      <c r="C88" s="41">
        <f>(I88+K88+M88+O88+Q88+S88+U88)</f>
        <v>0</v>
      </c>
      <c r="E88" s="42">
        <f>C88/8</f>
        <v>0</v>
      </c>
      <c r="F88" s="137">
        <f>F87+H87</f>
        <v>0</v>
      </c>
      <c r="G88" s="137"/>
      <c r="H88" s="137"/>
      <c r="I88" s="46">
        <f>SUM(J78:J86)</f>
        <v>0</v>
      </c>
      <c r="J88" s="47">
        <f>I88+J73</f>
        <v>0</v>
      </c>
      <c r="K88" s="46">
        <f>SUM(L78:L86)</f>
        <v>0</v>
      </c>
      <c r="L88" s="47">
        <f>K88+L73</f>
        <v>0</v>
      </c>
      <c r="M88" s="46">
        <f>SUM(N78:N86)</f>
        <v>0</v>
      </c>
      <c r="N88" s="47">
        <f>M88+N73</f>
        <v>0</v>
      </c>
      <c r="O88" s="46">
        <f>SUM(P78:P86)</f>
        <v>0</v>
      </c>
      <c r="P88" s="47">
        <f>O88+P73</f>
        <v>0</v>
      </c>
      <c r="Q88" s="46">
        <f>SUM(R78:R86)</f>
        <v>0</v>
      </c>
      <c r="R88" s="47">
        <f>Q88+R73</f>
        <v>0</v>
      </c>
      <c r="S88" s="46">
        <f>SUM(T78:T86)</f>
        <v>0</v>
      </c>
      <c r="T88" s="47">
        <f>S88+T73</f>
        <v>0</v>
      </c>
      <c r="U88" s="46">
        <f>SUM(V78:V86)</f>
        <v>0</v>
      </c>
      <c r="V88" s="47">
        <f>U88+V73</f>
        <v>0</v>
      </c>
      <c r="AF88" s="34"/>
      <c r="AG88" s="34"/>
      <c r="AH88" s="34"/>
      <c r="AI88" s="34"/>
      <c r="AJ88" s="34"/>
    </row>
    <row r="89" spans="1:122" s="5" customFormat="1" ht="11.25" customHeight="1" thickBot="1" x14ac:dyDescent="0.25">
      <c r="A89" s="1"/>
      <c r="B89" s="1"/>
      <c r="C89" s="41">
        <f>(I89+K89+M89+O89+Q89+S89+U89)</f>
        <v>0</v>
      </c>
      <c r="D89" s="3"/>
      <c r="E89" s="42">
        <f>C89/8</f>
        <v>0</v>
      </c>
      <c r="F89" s="138">
        <f>F88+F74</f>
        <v>0</v>
      </c>
      <c r="G89" s="138"/>
      <c r="H89" s="138"/>
      <c r="I89" s="48">
        <f>I87*I88</f>
        <v>0</v>
      </c>
      <c r="J89" s="49">
        <f>I89+J74</f>
        <v>0</v>
      </c>
      <c r="K89" s="48">
        <f>K87*K88</f>
        <v>0</v>
      </c>
      <c r="L89" s="49">
        <f>K89+L74</f>
        <v>0</v>
      </c>
      <c r="M89" s="48">
        <f>M87*M88</f>
        <v>0</v>
      </c>
      <c r="N89" s="49">
        <f>M89+N74</f>
        <v>0</v>
      </c>
      <c r="O89" s="48">
        <f>O87*O88</f>
        <v>0</v>
      </c>
      <c r="P89" s="49">
        <f>O89+P74</f>
        <v>0</v>
      </c>
      <c r="Q89" s="48">
        <f>Q87*Q88</f>
        <v>0</v>
      </c>
      <c r="R89" s="49">
        <f>Q89+R74</f>
        <v>0</v>
      </c>
      <c r="S89" s="48">
        <f>S87*S88</f>
        <v>0</v>
      </c>
      <c r="T89" s="49">
        <f>S89+T74</f>
        <v>0</v>
      </c>
      <c r="U89" s="48">
        <f>U87*U88</f>
        <v>0</v>
      </c>
      <c r="V89" s="49">
        <f>U89+V74</f>
        <v>0</v>
      </c>
      <c r="AF89" s="34"/>
      <c r="AG89" s="34"/>
      <c r="AH89" s="34"/>
      <c r="AI89" s="34"/>
      <c r="AJ89" s="34"/>
      <c r="AL89" s="5">
        <f>MAX(I89,K89,M89,O89,Q89,S89,U89)</f>
        <v>0</v>
      </c>
      <c r="AM89" s="5">
        <f>MIN(I89,K89,M89,O89,Q89,S89,U89)</f>
        <v>0</v>
      </c>
      <c r="AS89" s="13"/>
      <c r="BC89" s="6"/>
      <c r="BF89" s="14"/>
      <c r="BG89" s="13"/>
      <c r="BI89" s="14"/>
      <c r="BJ89" s="13"/>
      <c r="BL89" s="14"/>
      <c r="BM89" s="13"/>
      <c r="BO89" s="14"/>
      <c r="BP89" s="13"/>
      <c r="BR89" s="14"/>
      <c r="BS89" s="13"/>
      <c r="BU89" s="14"/>
      <c r="BV89" s="13"/>
      <c r="BX89" s="14"/>
      <c r="BY89" s="13"/>
      <c r="CA89" s="14"/>
      <c r="CB89" s="13"/>
      <c r="CD89" s="14"/>
      <c r="CE89" s="13"/>
      <c r="CG89" s="14"/>
      <c r="CH89" s="13"/>
      <c r="CJ89" s="14"/>
      <c r="CK89" s="13"/>
      <c r="CM89" s="14"/>
      <c r="CN89" s="13"/>
      <c r="CP89" s="14"/>
      <c r="CQ89" s="13"/>
      <c r="CS89" s="14"/>
      <c r="CT89" s="13"/>
      <c r="CV89" s="14"/>
      <c r="CW89" s="13"/>
      <c r="CY89" s="14"/>
      <c r="CZ89" s="13"/>
      <c r="DB89" s="14"/>
      <c r="DC89" s="13"/>
      <c r="DE89" s="14"/>
      <c r="DI89" s="9"/>
      <c r="DJ89" s="10"/>
      <c r="DK89" s="10"/>
      <c r="DL89" s="10"/>
      <c r="DM89" s="10"/>
    </row>
    <row r="90" spans="1:122" ht="11.25" customHeight="1" thickTop="1" x14ac:dyDescent="0.2">
      <c r="I90" s="50"/>
      <c r="J90" s="50">
        <f>L89-J89</f>
        <v>0</v>
      </c>
      <c r="K90" s="50"/>
      <c r="L90" s="50"/>
      <c r="M90" s="50"/>
      <c r="N90" s="50">
        <f>L89-N89</f>
        <v>0</v>
      </c>
      <c r="O90" s="50"/>
      <c r="P90" s="50">
        <f>L89-P89</f>
        <v>0</v>
      </c>
      <c r="Q90" s="50"/>
      <c r="R90" s="50">
        <f>L89-R89</f>
        <v>0</v>
      </c>
      <c r="S90" s="50"/>
      <c r="T90" s="50">
        <f>L89-T89</f>
        <v>0</v>
      </c>
      <c r="U90" s="50"/>
      <c r="V90" s="50">
        <f>L89-V89</f>
        <v>0</v>
      </c>
    </row>
    <row r="91" spans="1:122" ht="11.25" customHeight="1" x14ac:dyDescent="0.2">
      <c r="I91" s="139" t="str">
        <f>ß101</f>
        <v>Kropp</v>
      </c>
      <c r="J91" s="139"/>
      <c r="K91" s="139" t="str">
        <f>ß102</f>
        <v>Nörnberg</v>
      </c>
      <c r="L91" s="139"/>
      <c r="M91" s="139" t="str">
        <f>ß103</f>
        <v>Bübel</v>
      </c>
      <c r="N91" s="139"/>
      <c r="O91" s="139" t="str">
        <f>ß104</f>
        <v>Schwicht.</v>
      </c>
      <c r="P91" s="139"/>
      <c r="Q91" s="139" t="str">
        <f>ß105</f>
        <v>Rontzko.</v>
      </c>
      <c r="R91" s="139"/>
      <c r="S91" s="139" t="str">
        <f>ß106</f>
        <v>Hauschildt</v>
      </c>
      <c r="T91" s="139"/>
      <c r="U91" s="139" t="str">
        <f>ß107</f>
        <v>Zerres</v>
      </c>
      <c r="V91" s="139"/>
      <c r="AF91" s="11"/>
      <c r="AG91" s="11"/>
      <c r="AH91" s="11"/>
      <c r="AI91" s="11"/>
      <c r="AJ91" s="11"/>
      <c r="AL91" s="5" t="str">
        <f>IF($I104=$AL104,I91,"x")</f>
        <v>Kropp</v>
      </c>
      <c r="AM91" s="5" t="str">
        <f>IF($K104=$AL104,K91,"x")</f>
        <v>Nörnberg</v>
      </c>
      <c r="AN91" s="5" t="str">
        <f>IF($M104=$AL104,M91,"x")</f>
        <v>Bübel</v>
      </c>
      <c r="AO91" s="5" t="str">
        <f>IF($O104=$AL104,O91,"x")</f>
        <v>Schwicht.</v>
      </c>
      <c r="AP91" s="5" t="str">
        <f>IF($Q104=$AL104,Q91,"x")</f>
        <v>Rontzko.</v>
      </c>
      <c r="AQ91" s="5" t="str">
        <f>IF($S104=$AL104,S91,"x")</f>
        <v>Hauschildt</v>
      </c>
      <c r="AR91" s="5" t="str">
        <f>IF($U104=$AL104,U91,"x")</f>
        <v>Zerres</v>
      </c>
      <c r="AS91" s="13" t="str">
        <f>IF($I104=$AM104,I91,"x")</f>
        <v>Kropp</v>
      </c>
      <c r="AT91" s="5" t="str">
        <f>IF($K104=$AM104,K91,"x")</f>
        <v>Nörnberg</v>
      </c>
      <c r="AU91" s="5" t="str">
        <f>IF($M104=$AM104,M91,"x")</f>
        <v>Bübel</v>
      </c>
      <c r="AV91" s="5" t="str">
        <f>IF($O104=$AM104,O91,"x")</f>
        <v>Schwicht.</v>
      </c>
      <c r="AW91" s="5" t="str">
        <f>IF($Q104=$AM104,Q91,"x")</f>
        <v>Rontzko.</v>
      </c>
      <c r="AX91" s="5" t="str">
        <f>IF($S104=$AM104,S91,"x")</f>
        <v>Hauschildt</v>
      </c>
      <c r="AY91" s="5" t="str">
        <f>IF($U104=$AM104,U91,"x")</f>
        <v>Zerres</v>
      </c>
      <c r="BD91" s="140" t="str">
        <f>ß01</f>
        <v>Bayern</v>
      </c>
      <c r="BE91" s="140"/>
      <c r="BF91" s="140"/>
      <c r="BG91" s="141" t="str">
        <f>ß02</f>
        <v>Leipzig</v>
      </c>
      <c r="BH91" s="141"/>
      <c r="BI91" s="141"/>
      <c r="BJ91" s="141" t="str">
        <f>ß03</f>
        <v>Leverk.</v>
      </c>
      <c r="BK91" s="141"/>
      <c r="BL91" s="141"/>
      <c r="BM91" s="141" t="str">
        <f>ß04</f>
        <v>Hoffenheim</v>
      </c>
      <c r="BN91" s="141"/>
      <c r="BO91" s="141"/>
      <c r="BP91" s="141" t="str">
        <f>ß05</f>
        <v>Frankfurt</v>
      </c>
      <c r="BQ91" s="141"/>
      <c r="BR91" s="141"/>
      <c r="BS91" s="141" t="str">
        <f>ß06</f>
        <v>Werder</v>
      </c>
      <c r="BT91" s="141"/>
      <c r="BU91" s="141"/>
      <c r="BV91" s="141" t="str">
        <f>ß07</f>
        <v>Freiburg</v>
      </c>
      <c r="BW91" s="141"/>
      <c r="BX91" s="141"/>
      <c r="BY91" s="141" t="str">
        <f>ß08</f>
        <v>Augsburg</v>
      </c>
      <c r="BZ91" s="141"/>
      <c r="CA91" s="141"/>
      <c r="CB91" s="141" t="str">
        <f>ß09</f>
        <v>Mainz</v>
      </c>
      <c r="CC91" s="141"/>
      <c r="CD91" s="141"/>
      <c r="CE91" s="141" t="str">
        <f>ß10</f>
        <v>Köln</v>
      </c>
      <c r="CF91" s="141"/>
      <c r="CG91" s="141"/>
      <c r="CH91" s="141" t="str">
        <f>ß11</f>
        <v>M'gladb.</v>
      </c>
      <c r="CI91" s="141"/>
      <c r="CJ91" s="141"/>
      <c r="CK91" s="141" t="str">
        <f>ß12</f>
        <v>HSV</v>
      </c>
      <c r="CL91" s="141"/>
      <c r="CM91" s="141"/>
      <c r="CN91" s="141" t="str">
        <f>ß13</f>
        <v>Union</v>
      </c>
      <c r="CO91" s="141"/>
      <c r="CP91" s="141"/>
      <c r="CQ91" s="141" t="str">
        <f>ß14</f>
        <v>Stuttgart</v>
      </c>
      <c r="CR91" s="141"/>
      <c r="CS91" s="141"/>
      <c r="CT91" s="141" t="str">
        <f>ß15</f>
        <v>St. Pauli</v>
      </c>
      <c r="CU91" s="141"/>
      <c r="CV91" s="141"/>
      <c r="CW91" s="141" t="str">
        <f>ß16</f>
        <v>Dortmund</v>
      </c>
      <c r="CX91" s="141"/>
      <c r="CY91" s="141"/>
      <c r="CZ91" s="141" t="str">
        <f>ß17</f>
        <v>Heidenheim</v>
      </c>
      <c r="DA91" s="141"/>
      <c r="DB91" s="141"/>
      <c r="DC91" s="141" t="str">
        <f>ß18</f>
        <v>Wolfsburg</v>
      </c>
      <c r="DD91" s="141"/>
      <c r="DE91" s="141"/>
    </row>
    <row r="92" spans="1:122" ht="11.25" customHeight="1" x14ac:dyDescent="0.2">
      <c r="C92" s="16" t="str">
        <f>Mannschaften!F7</f>
        <v>7. Spieltag</v>
      </c>
      <c r="D92" s="11"/>
      <c r="E92" s="17" t="str">
        <f>Mannschaften!G7</f>
        <v>17.19.10.25</v>
      </c>
      <c r="I92" s="19">
        <f>RANK(Rang!A7,Rang!A7:G7)</f>
        <v>1</v>
      </c>
      <c r="J92" s="20">
        <f>RANK(Rang!H7,Rang!H7:N7)</f>
        <v>1</v>
      </c>
      <c r="K92" s="19">
        <f>RANK(Rang!B7,Rang!A7:G7)</f>
        <v>1</v>
      </c>
      <c r="L92" s="20">
        <f>RANK(Rang!I7,Rang!H7:N7)</f>
        <v>1</v>
      </c>
      <c r="M92" s="19">
        <f>RANK(Rang!C7,Rang!A7:G7)</f>
        <v>1</v>
      </c>
      <c r="N92" s="20">
        <f>RANK(Rang!J7,Rang!H7:N7)</f>
        <v>1</v>
      </c>
      <c r="O92" s="19">
        <f>RANK(Rang!D7,Rang!A7:G7)</f>
        <v>1</v>
      </c>
      <c r="P92" s="20">
        <f>RANK(Rang!K7,Rang!H7:N7)</f>
        <v>1</v>
      </c>
      <c r="Q92" s="19">
        <f>RANK(Rang!E7,Rang!A7:G7)</f>
        <v>1</v>
      </c>
      <c r="R92" s="20">
        <f>RANK(Rang!L7,Rang!H7:N7)</f>
        <v>1</v>
      </c>
      <c r="S92" s="19">
        <f>RANK(Rang!F7,Rang!A7:G7)</f>
        <v>1</v>
      </c>
      <c r="T92" s="20">
        <f>RANK(Rang!M7,Rang!H7:N7)</f>
        <v>1</v>
      </c>
      <c r="U92" s="19">
        <f>RANK(Rang!G7,Rang!A7:G7)</f>
        <v>1</v>
      </c>
      <c r="V92" s="20">
        <f>RANK(Rang!N7,Rang!H7:N7)</f>
        <v>1</v>
      </c>
      <c r="AF92" s="22"/>
      <c r="AG92" s="22"/>
      <c r="AH92" s="22"/>
      <c r="AI92" s="22"/>
      <c r="AJ92" s="22"/>
      <c r="AK92" s="21"/>
      <c r="AL92" s="21"/>
      <c r="AM92" s="21"/>
      <c r="AN92" s="21"/>
      <c r="AO92" s="21"/>
      <c r="AP92" s="21"/>
      <c r="AQ92" s="21"/>
      <c r="AR92" s="21"/>
      <c r="AS92" s="24"/>
      <c r="AT92" s="21"/>
      <c r="AU92" s="21"/>
      <c r="AV92" s="21"/>
      <c r="AW92" s="21"/>
      <c r="AX92" s="21"/>
      <c r="AY92" s="21"/>
      <c r="AZ92" s="21"/>
      <c r="BA92" s="21"/>
      <c r="BB92" s="21"/>
      <c r="BD92" s="25" t="s">
        <v>4</v>
      </c>
      <c r="BE92" s="25" t="s">
        <v>5</v>
      </c>
      <c r="BF92" s="26" t="s">
        <v>6</v>
      </c>
      <c r="BG92" s="27" t="s">
        <v>4</v>
      </c>
      <c r="BH92" s="25" t="s">
        <v>5</v>
      </c>
      <c r="BI92" s="26" t="s">
        <v>6</v>
      </c>
      <c r="BJ92" s="27" t="s">
        <v>4</v>
      </c>
      <c r="BK92" s="25" t="s">
        <v>5</v>
      </c>
      <c r="BL92" s="26" t="s">
        <v>6</v>
      </c>
      <c r="BM92" s="27" t="s">
        <v>4</v>
      </c>
      <c r="BN92" s="25" t="s">
        <v>5</v>
      </c>
      <c r="BO92" s="26" t="s">
        <v>6</v>
      </c>
      <c r="BP92" s="27" t="s">
        <v>4</v>
      </c>
      <c r="BQ92" s="25" t="s">
        <v>5</v>
      </c>
      <c r="BR92" s="26" t="s">
        <v>6</v>
      </c>
      <c r="BS92" s="27" t="s">
        <v>4</v>
      </c>
      <c r="BT92" s="25" t="s">
        <v>5</v>
      </c>
      <c r="BU92" s="26" t="s">
        <v>6</v>
      </c>
      <c r="BV92" s="27" t="s">
        <v>4</v>
      </c>
      <c r="BW92" s="25" t="s">
        <v>5</v>
      </c>
      <c r="BX92" s="26" t="s">
        <v>6</v>
      </c>
      <c r="BY92" s="27" t="s">
        <v>4</v>
      </c>
      <c r="BZ92" s="25" t="s">
        <v>5</v>
      </c>
      <c r="CA92" s="26" t="s">
        <v>6</v>
      </c>
      <c r="CB92" s="27" t="s">
        <v>4</v>
      </c>
      <c r="CC92" s="25" t="s">
        <v>5</v>
      </c>
      <c r="CD92" s="26" t="s">
        <v>6</v>
      </c>
      <c r="CE92" s="27" t="s">
        <v>4</v>
      </c>
      <c r="CF92" s="25" t="s">
        <v>5</v>
      </c>
      <c r="CG92" s="26" t="s">
        <v>6</v>
      </c>
      <c r="CH92" s="27" t="s">
        <v>4</v>
      </c>
      <c r="CI92" s="25" t="s">
        <v>5</v>
      </c>
      <c r="CJ92" s="26" t="s">
        <v>6</v>
      </c>
      <c r="CK92" s="27" t="s">
        <v>4</v>
      </c>
      <c r="CL92" s="25" t="s">
        <v>5</v>
      </c>
      <c r="CM92" s="26" t="s">
        <v>6</v>
      </c>
      <c r="CN92" s="27" t="s">
        <v>4</v>
      </c>
      <c r="CO92" s="25" t="s">
        <v>5</v>
      </c>
      <c r="CP92" s="26" t="s">
        <v>6</v>
      </c>
      <c r="CQ92" s="27" t="s">
        <v>4</v>
      </c>
      <c r="CR92" s="25" t="s">
        <v>5</v>
      </c>
      <c r="CS92" s="26" t="s">
        <v>6</v>
      </c>
      <c r="CT92" s="27" t="s">
        <v>4</v>
      </c>
      <c r="CU92" s="25" t="s">
        <v>5</v>
      </c>
      <c r="CV92" s="26" t="s">
        <v>6</v>
      </c>
      <c r="CW92" s="27" t="s">
        <v>4</v>
      </c>
      <c r="CX92" s="25" t="s">
        <v>5</v>
      </c>
      <c r="CY92" s="26" t="s">
        <v>6</v>
      </c>
      <c r="CZ92" s="27" t="s">
        <v>4</v>
      </c>
      <c r="DA92" s="25" t="s">
        <v>5</v>
      </c>
      <c r="DB92" s="26" t="s">
        <v>6</v>
      </c>
      <c r="DC92" s="27" t="s">
        <v>4</v>
      </c>
      <c r="DD92" s="25" t="s">
        <v>5</v>
      </c>
      <c r="DE92" s="26" t="s">
        <v>6</v>
      </c>
      <c r="DF92" s="21"/>
      <c r="DG92" s="21"/>
      <c r="DH92" s="21"/>
      <c r="DN92" s="136" t="s">
        <v>7</v>
      </c>
      <c r="DO92" s="136"/>
      <c r="DP92" s="136" t="s">
        <v>8</v>
      </c>
      <c r="DQ92" s="136"/>
      <c r="DR92" s="28"/>
    </row>
    <row r="93" spans="1:122" ht="11.25" customHeight="1" x14ac:dyDescent="0.2">
      <c r="C93" s="2" t="str">
        <f>ß01</f>
        <v>Bayern</v>
      </c>
      <c r="D93" s="3" t="s">
        <v>11</v>
      </c>
      <c r="E93" s="2" t="str">
        <f>ß16</f>
        <v>Dortmund</v>
      </c>
      <c r="F93" s="29"/>
      <c r="G93" s="3" t="s">
        <v>12</v>
      </c>
      <c r="H93" s="30"/>
      <c r="I93" s="31"/>
      <c r="J93" s="32" t="str">
        <f t="shared" ref="J93:J101" si="89">IF($F93="","",(IF(I93="","",IF(I93=$DG93,(VLOOKUP($DH93,$DJ$3:$DK$11,2,FALSE())),0))))</f>
        <v/>
      </c>
      <c r="K93" s="31"/>
      <c r="L93" s="32" t="str">
        <f t="shared" ref="L93:L101" si="90">IF($F93="","",(IF(K93="","",IF(K93=$DG93,(VLOOKUP($DH93,$DJ$3:$DK$11,2,FALSE())),0))))</f>
        <v/>
      </c>
      <c r="M93" s="31"/>
      <c r="N93" s="32" t="str">
        <f t="shared" ref="N93:N101" si="91">IF($F93="","",(IF(M93="","",IF(M93=$DG93,(VLOOKUP($DH93,$DJ$3:$DK$11,2,FALSE())),0))))</f>
        <v/>
      </c>
      <c r="O93" s="31"/>
      <c r="P93" s="32" t="str">
        <f t="shared" ref="P93:P101" si="92">IF($F93="","",(IF(O93="","",IF(O93=$DG93,(VLOOKUP($DH93,$DJ$3:$DK$11,2,FALSE())),0))))</f>
        <v/>
      </c>
      <c r="Q93" s="31"/>
      <c r="R93" s="32" t="str">
        <f t="shared" ref="R93:R101" si="93">IF($F93="","",(IF(Q93="","",IF(Q93=$DG93,(VLOOKUP($DH93,$DJ$3:$DK$11,2,FALSE())),0))))</f>
        <v/>
      </c>
      <c r="S93" s="31"/>
      <c r="T93" s="32" t="str">
        <f t="shared" ref="T93:T101" si="94">IF($F93="","",(IF(S93="","",IF(S93=$DG93,(VLOOKUP($DH93,$DJ$3:$DK$11,2,FALSE())),0))))</f>
        <v/>
      </c>
      <c r="U93" s="31"/>
      <c r="V93" s="32" t="str">
        <f t="shared" ref="V93:V101" si="95">IF($F93="","",(IF(U93="","",IF(U93=$DG93,(VLOOKUP($DH93,$DJ$3:$DK$11,2,FALSE())),0))))</f>
        <v/>
      </c>
      <c r="AF93" s="34"/>
      <c r="AG93" s="34"/>
      <c r="AH93" s="34"/>
      <c r="AI93" s="34"/>
      <c r="AJ93" s="34"/>
      <c r="AN93" s="5"/>
      <c r="AO93" s="5"/>
      <c r="AP93" s="5"/>
      <c r="AQ93" s="5"/>
      <c r="AR93" s="5"/>
      <c r="AS93" s="13"/>
      <c r="AT93" s="5"/>
      <c r="AU93" s="5"/>
      <c r="AV93" s="5"/>
      <c r="AW93" s="5"/>
      <c r="AX93" s="5"/>
      <c r="AY93" s="5"/>
      <c r="BC93" s="6">
        <v>92</v>
      </c>
      <c r="BD93" s="35">
        <f>IF(ISERROR(MATCH(ß01,$C93:$C101,0)),"",MATCH(ß01,$C93:$C101,0))</f>
        <v>1</v>
      </c>
      <c r="BE93" s="35" t="str">
        <f>IF(ISERROR(MATCH(ß01,$E93:$E101,0)),"",MATCH(ß01,$E93:$E101,0))</f>
        <v/>
      </c>
      <c r="BF93" s="15">
        <f>SUM(BD93:BE93)+BC93</f>
        <v>93</v>
      </c>
      <c r="BG93" s="36">
        <f>IF(ISERROR(MATCH(ß02,$C93:$C101,0)),"",MATCH(ß02,$C93:$C101,0))</f>
        <v>4</v>
      </c>
      <c r="BH93" s="35" t="str">
        <f>IF(ISERROR(MATCH(ß02,$E93:$E101,0)),"",MATCH(ß02,$E93:$E101,0))</f>
        <v/>
      </c>
      <c r="BI93" s="15">
        <f>SUM(BG93:BH93)+BC93</f>
        <v>96</v>
      </c>
      <c r="BJ93" s="36" t="str">
        <f>IF(ISERROR(MATCH(ß03,$C93:$C101,0)),"",MATCH(ß03,$C93:$C101,0))</f>
        <v/>
      </c>
      <c r="BK93" s="35">
        <f>IF(ISERROR(MATCH(ß03,$E93:$E101,0)),"",MATCH(ß03,$E93:$E101,0))</f>
        <v>3</v>
      </c>
      <c r="BL93" s="15">
        <f>SUM(BJ93:BK93)+BC93</f>
        <v>95</v>
      </c>
      <c r="BM93" s="36" t="str">
        <f>IF(ISERROR(MATCH(ß04,$C93:$C101,0)),"",MATCH(ß04,$C93:$C101,0))</f>
        <v/>
      </c>
      <c r="BN93" s="35">
        <f>IF(ISERROR(MATCH(ß04,$E93:$E101,0)),"",MATCH(ß04,$E93:$E101,0))</f>
        <v>7</v>
      </c>
      <c r="BO93" s="15">
        <f>SUM(BM93:BN93)+BC93</f>
        <v>99</v>
      </c>
      <c r="BP93" s="36" t="str">
        <f>IF(ISERROR(MATCH(ß05,$C93:$C101,0)),"",MATCH(ß05,$C93:$C101,0))</f>
        <v/>
      </c>
      <c r="BQ93" s="35">
        <f>IF(ISERROR(MATCH(ß05,$E93:$E101,0)),"",MATCH(ß05,$E93:$E101,0))</f>
        <v>2</v>
      </c>
      <c r="BR93" s="15">
        <f>SUM(BP93:BQ93)+BC93</f>
        <v>94</v>
      </c>
      <c r="BS93" s="36" t="str">
        <f>IF(ISERROR(MATCH(ß06,$C93:$C101,0)),"",MATCH(ß06,$C93:$C101,0))</f>
        <v/>
      </c>
      <c r="BT93" s="35">
        <f>IF(ISERROR(MATCH(ß06,$E93:$E101,0)),"",MATCH(ß06,$E93:$E101,0))</f>
        <v>8</v>
      </c>
      <c r="BU93" s="15">
        <f>SUM(BS93:BT93)+BC93</f>
        <v>100</v>
      </c>
      <c r="BV93" s="36">
        <f>IF(ISERROR(MATCH(ß07,$C93:$C101,0)),"",MATCH(ß07,$C93:$C101,0))</f>
        <v>2</v>
      </c>
      <c r="BW93" s="35" t="str">
        <f>IF(ISERROR(MATCH(ß07,$E93:$E101,0)),"",MATCH(ß07,$E93:$E101,0))</f>
        <v/>
      </c>
      <c r="BX93" s="15">
        <f>SUM(BV93:BW93)+BC93</f>
        <v>94</v>
      </c>
      <c r="BY93" s="36" t="str">
        <f>IF(ISERROR(MATCH(ß08,$C93:$C101,0)),"",MATCH(ß08,$C93:$C101,0))</f>
        <v/>
      </c>
      <c r="BZ93" s="35">
        <f>IF(ISERROR(MATCH(ß08,$E93:$E101,0)),"",MATCH(ß08,$E93:$E101,0))</f>
        <v>9</v>
      </c>
      <c r="CA93" s="15">
        <f>SUM(BY93:BZ93)+BC93</f>
        <v>101</v>
      </c>
      <c r="CB93" s="36">
        <f>IF(ISERROR(MATCH(ß09,$C93:$C101,0)),"",MATCH(ß09,$C93:$C101,0))</f>
        <v>3</v>
      </c>
      <c r="CC93" s="35" t="str">
        <f>IF(ISERROR(MATCH(ß09,$E93:$E101,0)),"",MATCH(ß09,$E93:$E101,0))</f>
        <v/>
      </c>
      <c r="CD93" s="15">
        <f>SUM(CB93:CC93)+BC93</f>
        <v>95</v>
      </c>
      <c r="CE93" s="36">
        <f>IF(ISERROR(MATCH(ß10,$C93:$C101,0)),"",MATCH(ß10,$C93:$C101,0))</f>
        <v>9</v>
      </c>
      <c r="CF93" s="35" t="str">
        <f>IF(ISERROR(MATCH(ß10,$E93:$E101,0)),"",MATCH(ß10,$E93:$E101,0))</f>
        <v/>
      </c>
      <c r="CG93" s="15">
        <f>SUM(CE93:CF93)+BC93</f>
        <v>101</v>
      </c>
      <c r="CH93" s="36" t="str">
        <f>IF(ISERROR(MATCH(ß11,$C93:$C101,0)),"",MATCH(ß11,$C93:$C101,0))</f>
        <v/>
      </c>
      <c r="CI93" s="35">
        <f>IF(ISERROR(MATCH(ß11,$E93:$E101,0)),"",MATCH(ß11,$E93:$E101,0))</f>
        <v>6</v>
      </c>
      <c r="CJ93" s="15">
        <f>SUM(CH93:CI93)+BC93</f>
        <v>98</v>
      </c>
      <c r="CK93" s="36" t="str">
        <f>IF(ISERROR(MATCH(ß12,$C93:$C101,0)),"",MATCH(ß12,$C93:$C101,0))</f>
        <v/>
      </c>
      <c r="CL93" s="35">
        <f>IF(ISERROR(MATCH(ß12,$E93:$E101,0)),"",MATCH(ß12,$E93:$E101,0))</f>
        <v>4</v>
      </c>
      <c r="CM93" s="15">
        <f>SUM(CK93:CL93)+BC93</f>
        <v>96</v>
      </c>
      <c r="CN93" s="36">
        <f>IF(ISERROR(MATCH(ß13,$C93:$C101,0)),"",MATCH(ß13,$C93:$C101,0))</f>
        <v>6</v>
      </c>
      <c r="CO93" s="35" t="str">
        <f>IF(ISERROR(MATCH(ß13,$E93:$E101,0)),"",MATCH(ß13,$E93:$E101,0))</f>
        <v/>
      </c>
      <c r="CP93" s="15">
        <f>SUM(CN93:CO93)+BC93</f>
        <v>98</v>
      </c>
      <c r="CQ93" s="36" t="str">
        <f>IF(ISERROR(MATCH(ß14,$C93:$C101,0)),"",MATCH(ß14,$C93:$C101,0))</f>
        <v/>
      </c>
      <c r="CR93" s="35">
        <f>IF(ISERROR(MATCH(ß14,$E93:$E101,0)),"",MATCH(ß14,$E93:$E101,0))</f>
        <v>5</v>
      </c>
      <c r="CS93" s="15">
        <f>SUM(CQ93:CR93)+BC93</f>
        <v>97</v>
      </c>
      <c r="CT93" s="36">
        <f>IF(ISERROR(MATCH(ß15,$C93:$C101,0)),"",MATCH(ß15,$C93:$C101,0))</f>
        <v>7</v>
      </c>
      <c r="CU93" s="35" t="str">
        <f>IF(ISERROR(MATCH(ß15,$E93:$E101,0)),"",MATCH(ß15,$E93:$E101,0))</f>
        <v/>
      </c>
      <c r="CV93" s="15">
        <f>SUM(CT93:CU93)+BC93</f>
        <v>99</v>
      </c>
      <c r="CW93" s="36" t="str">
        <f>IF(ISERROR(MATCH(ß16,$C93:$C101,0)),"",MATCH(ß16,$C93:$C101,0))</f>
        <v/>
      </c>
      <c r="CX93" s="35">
        <f>IF(ISERROR(MATCH(ß16,$E93:$E101,0)),"",MATCH(ß16,$E93:$E101,0))</f>
        <v>1</v>
      </c>
      <c r="CY93" s="15">
        <f>SUM(CW93:CX93)+BC93</f>
        <v>93</v>
      </c>
      <c r="CZ93" s="36">
        <f>IF(ISERROR(MATCH(ß17,$C93:$C101,0)),"",MATCH(ß17,$C93:$C101,0))</f>
        <v>8</v>
      </c>
      <c r="DA93" s="35" t="str">
        <f>IF(ISERROR(MATCH(ß17,$E93:$E101,0)),"",MATCH(ß17,$E93:$E101,0))</f>
        <v/>
      </c>
      <c r="DB93" s="15">
        <f>SUM(CZ93:DA93)+BC93</f>
        <v>100</v>
      </c>
      <c r="DC93" s="36">
        <f>IF(ISERROR(MATCH(ß18,$C93:$C101,0)),"",MATCH(ß18,$C93:$C101,0))</f>
        <v>5</v>
      </c>
      <c r="DD93" s="35" t="str">
        <f>IF(ISERROR(MATCH(ß18,$E93:$E101,0)),"",MATCH(ß18,$E93:$E101,0))</f>
        <v/>
      </c>
      <c r="DE93" s="15">
        <f>SUM(DC93:DD93)+BC93</f>
        <v>97</v>
      </c>
      <c r="DG93" s="8" t="str">
        <f t="shared" ref="DG93:DG101" si="96">IF(F93="","",(IF(F93=H93,0,IF(F93&gt;H93,1,IF(F93&lt;H93,2)))))</f>
        <v/>
      </c>
      <c r="DH93" s="3">
        <f>COUNTIF(I93,DG93)+COUNTIF(K93,DG93)+COUNTIF(M93,DG93)+COUNTIF(O93,DG93)+COUNTIF(Q93,DG93)+COUNTIF(S93,DG93)+COUNTIF(U93,DG93)</f>
        <v>7</v>
      </c>
      <c r="DN93" s="12">
        <f t="shared" ref="DN93:DN101" si="97">F93</f>
        <v>0</v>
      </c>
      <c r="DO93" s="5">
        <f t="shared" ref="DO93:DO101" si="98">H93</f>
        <v>0</v>
      </c>
      <c r="DP93" s="5" t="str">
        <f t="shared" ref="DP93:DP101" si="99">IF($F93="","",IF(DN93&gt;DO93,3,IF(DN93&lt;DO93,0,1)))</f>
        <v/>
      </c>
      <c r="DQ93" s="5" t="str">
        <f t="shared" ref="DQ93:DQ101" si="100">IF($H93="","",IF(DO93&gt;DN93,3,IF(DO93&lt;DN93,0,1)))</f>
        <v/>
      </c>
      <c r="DR93" s="5">
        <f t="shared" ref="DR93:DR101" si="101">IF(ISBLANK(F93),0,1)</f>
        <v>0</v>
      </c>
    </row>
    <row r="94" spans="1:122" ht="11.25" customHeight="1" x14ac:dyDescent="0.2">
      <c r="C94" s="2" t="str">
        <f>ß07</f>
        <v>Freiburg</v>
      </c>
      <c r="D94" s="3" t="s">
        <v>11</v>
      </c>
      <c r="E94" s="2" t="str">
        <f>ß05</f>
        <v>Frankfurt</v>
      </c>
      <c r="F94" s="29"/>
      <c r="G94" s="3" t="s">
        <v>12</v>
      </c>
      <c r="H94" s="30"/>
      <c r="I94" s="37"/>
      <c r="J94" s="38" t="str">
        <f t="shared" si="89"/>
        <v/>
      </c>
      <c r="K94" s="37"/>
      <c r="L94" s="38" t="str">
        <f t="shared" si="90"/>
        <v/>
      </c>
      <c r="M94" s="37"/>
      <c r="N94" s="38" t="str">
        <f t="shared" si="91"/>
        <v/>
      </c>
      <c r="O94" s="37"/>
      <c r="P94" s="38" t="str">
        <f t="shared" si="92"/>
        <v/>
      </c>
      <c r="Q94" s="37"/>
      <c r="R94" s="38" t="str">
        <f t="shared" si="93"/>
        <v/>
      </c>
      <c r="S94" s="37"/>
      <c r="T94" s="38" t="str">
        <f t="shared" si="94"/>
        <v/>
      </c>
      <c r="U94" s="37"/>
      <c r="V94" s="38" t="str">
        <f t="shared" si="95"/>
        <v/>
      </c>
      <c r="AF94" s="34"/>
      <c r="AG94" s="34"/>
      <c r="AH94" s="34"/>
      <c r="AI94" s="34"/>
      <c r="AJ94" s="34"/>
      <c r="DG94" s="8" t="str">
        <f t="shared" si="96"/>
        <v/>
      </c>
      <c r="DH94" s="3">
        <f t="shared" ref="DH94:DH101" si="102">COUNTIF(I94,DG94)+COUNTIF(K94,DG94)+COUNTIF(M94,DG94)+COUNTIF(O94,DG94)+COUNTIF(Q94,DG94)+COUNTIF(S94,DG94)+COUNTIF(U94,DG94)</f>
        <v>7</v>
      </c>
      <c r="DN94" s="12">
        <f t="shared" si="97"/>
        <v>0</v>
      </c>
      <c r="DO94" s="5">
        <f t="shared" si="98"/>
        <v>0</v>
      </c>
      <c r="DP94" s="5" t="str">
        <f t="shared" si="99"/>
        <v/>
      </c>
      <c r="DQ94" s="5" t="str">
        <f t="shared" si="100"/>
        <v/>
      </c>
      <c r="DR94" s="5">
        <f t="shared" si="101"/>
        <v>0</v>
      </c>
    </row>
    <row r="95" spans="1:122" ht="11.25" customHeight="1" x14ac:dyDescent="0.2">
      <c r="C95" s="2" t="str">
        <f>ß09</f>
        <v>Mainz</v>
      </c>
      <c r="D95" s="3" t="s">
        <v>11</v>
      </c>
      <c r="E95" s="2" t="str">
        <f>ß03</f>
        <v>Leverk.</v>
      </c>
      <c r="F95" s="29"/>
      <c r="G95" s="3" t="s">
        <v>12</v>
      </c>
      <c r="H95" s="30"/>
      <c r="I95" s="37"/>
      <c r="J95" s="38" t="str">
        <f t="shared" si="89"/>
        <v/>
      </c>
      <c r="K95" s="37"/>
      <c r="L95" s="38" t="str">
        <f t="shared" si="90"/>
        <v/>
      </c>
      <c r="M95" s="37"/>
      <c r="N95" s="38" t="str">
        <f t="shared" si="91"/>
        <v/>
      </c>
      <c r="O95" s="37"/>
      <c r="P95" s="38" t="str">
        <f t="shared" si="92"/>
        <v/>
      </c>
      <c r="Q95" s="37"/>
      <c r="R95" s="38" t="str">
        <f t="shared" si="93"/>
        <v/>
      </c>
      <c r="S95" s="37"/>
      <c r="T95" s="38" t="str">
        <f t="shared" si="94"/>
        <v/>
      </c>
      <c r="U95" s="37"/>
      <c r="V95" s="38" t="str">
        <f t="shared" si="95"/>
        <v/>
      </c>
      <c r="AF95" s="34"/>
      <c r="AG95" s="34"/>
      <c r="AH95" s="34"/>
      <c r="AI95" s="34"/>
      <c r="AJ95" s="34"/>
      <c r="DG95" s="8" t="str">
        <f t="shared" si="96"/>
        <v/>
      </c>
      <c r="DH95" s="3">
        <f t="shared" si="102"/>
        <v>7</v>
      </c>
      <c r="DN95" s="12">
        <f t="shared" si="97"/>
        <v>0</v>
      </c>
      <c r="DO95" s="5">
        <f t="shared" si="98"/>
        <v>0</v>
      </c>
      <c r="DP95" s="5" t="str">
        <f t="shared" si="99"/>
        <v/>
      </c>
      <c r="DQ95" s="5" t="str">
        <f t="shared" si="100"/>
        <v/>
      </c>
      <c r="DR95" s="5">
        <f t="shared" si="101"/>
        <v>0</v>
      </c>
    </row>
    <row r="96" spans="1:122" ht="11.25" customHeight="1" x14ac:dyDescent="0.2">
      <c r="C96" s="2" t="str">
        <f>ß02</f>
        <v>Leipzig</v>
      </c>
      <c r="D96" s="3" t="s">
        <v>11</v>
      </c>
      <c r="E96" s="2" t="str">
        <f>ß12</f>
        <v>HSV</v>
      </c>
      <c r="F96" s="29"/>
      <c r="G96" s="3" t="s">
        <v>12</v>
      </c>
      <c r="H96" s="30"/>
      <c r="I96" s="37"/>
      <c r="J96" s="38" t="str">
        <f t="shared" si="89"/>
        <v/>
      </c>
      <c r="K96" s="37"/>
      <c r="L96" s="38" t="str">
        <f t="shared" si="90"/>
        <v/>
      </c>
      <c r="M96" s="37"/>
      <c r="N96" s="38" t="str">
        <f t="shared" si="91"/>
        <v/>
      </c>
      <c r="O96" s="37"/>
      <c r="P96" s="38" t="str">
        <f t="shared" si="92"/>
        <v/>
      </c>
      <c r="Q96" s="37"/>
      <c r="R96" s="38" t="str">
        <f t="shared" si="93"/>
        <v/>
      </c>
      <c r="S96" s="37"/>
      <c r="T96" s="38" t="str">
        <f t="shared" si="94"/>
        <v/>
      </c>
      <c r="U96" s="37"/>
      <c r="V96" s="38" t="str">
        <f t="shared" si="95"/>
        <v/>
      </c>
      <c r="AF96" s="34"/>
      <c r="AG96" s="34"/>
      <c r="AH96" s="34"/>
      <c r="AI96" s="34"/>
      <c r="AJ96" s="34"/>
      <c r="DG96" s="8" t="str">
        <f t="shared" si="96"/>
        <v/>
      </c>
      <c r="DH96" s="3">
        <f t="shared" si="102"/>
        <v>7</v>
      </c>
      <c r="DN96" s="12">
        <f t="shared" si="97"/>
        <v>0</v>
      </c>
      <c r="DO96" s="5">
        <f t="shared" si="98"/>
        <v>0</v>
      </c>
      <c r="DP96" s="5" t="str">
        <f t="shared" si="99"/>
        <v/>
      </c>
      <c r="DQ96" s="5" t="str">
        <f t="shared" si="100"/>
        <v/>
      </c>
      <c r="DR96" s="5">
        <f t="shared" si="101"/>
        <v>0</v>
      </c>
    </row>
    <row r="97" spans="1:122" ht="11.25" customHeight="1" x14ac:dyDescent="0.2">
      <c r="C97" s="2" t="str">
        <f>ß18</f>
        <v>Wolfsburg</v>
      </c>
      <c r="D97" s="3" t="s">
        <v>11</v>
      </c>
      <c r="E97" s="2" t="str">
        <f>ß14</f>
        <v>Stuttgart</v>
      </c>
      <c r="F97" s="29"/>
      <c r="G97" s="3" t="s">
        <v>12</v>
      </c>
      <c r="H97" s="30"/>
      <c r="I97" s="37"/>
      <c r="J97" s="38" t="str">
        <f t="shared" si="89"/>
        <v/>
      </c>
      <c r="K97" s="37"/>
      <c r="L97" s="38" t="str">
        <f t="shared" si="90"/>
        <v/>
      </c>
      <c r="M97" s="37"/>
      <c r="N97" s="38" t="str">
        <f t="shared" si="91"/>
        <v/>
      </c>
      <c r="O97" s="37"/>
      <c r="P97" s="38" t="str">
        <f t="shared" si="92"/>
        <v/>
      </c>
      <c r="Q97" s="37"/>
      <c r="R97" s="38" t="str">
        <f t="shared" si="93"/>
        <v/>
      </c>
      <c r="S97" s="37"/>
      <c r="T97" s="38" t="str">
        <f t="shared" si="94"/>
        <v/>
      </c>
      <c r="U97" s="37"/>
      <c r="V97" s="38" t="str">
        <f t="shared" si="95"/>
        <v/>
      </c>
      <c r="AF97" s="34"/>
      <c r="AG97" s="34"/>
      <c r="AH97" s="34"/>
      <c r="AI97" s="34"/>
      <c r="AJ97" s="34"/>
      <c r="DG97" s="8" t="str">
        <f t="shared" si="96"/>
        <v/>
      </c>
      <c r="DH97" s="3">
        <f t="shared" si="102"/>
        <v>7</v>
      </c>
      <c r="DN97" s="12">
        <f t="shared" si="97"/>
        <v>0</v>
      </c>
      <c r="DO97" s="5">
        <f t="shared" si="98"/>
        <v>0</v>
      </c>
      <c r="DP97" s="5" t="str">
        <f t="shared" si="99"/>
        <v/>
      </c>
      <c r="DQ97" s="5" t="str">
        <f t="shared" si="100"/>
        <v/>
      </c>
      <c r="DR97" s="5">
        <f t="shared" si="101"/>
        <v>0</v>
      </c>
    </row>
    <row r="98" spans="1:122" ht="11.25" customHeight="1" x14ac:dyDescent="0.2">
      <c r="C98" s="2" t="str">
        <f>ß13</f>
        <v>Union</v>
      </c>
      <c r="D98" s="3" t="s">
        <v>11</v>
      </c>
      <c r="E98" s="2" t="str">
        <f>ß11</f>
        <v>M'gladb.</v>
      </c>
      <c r="F98" s="29"/>
      <c r="G98" s="3" t="s">
        <v>12</v>
      </c>
      <c r="H98" s="30"/>
      <c r="I98" s="37"/>
      <c r="J98" s="38" t="str">
        <f t="shared" si="89"/>
        <v/>
      </c>
      <c r="K98" s="37"/>
      <c r="L98" s="38" t="str">
        <f t="shared" si="90"/>
        <v/>
      </c>
      <c r="M98" s="37"/>
      <c r="N98" s="38" t="str">
        <f t="shared" si="91"/>
        <v/>
      </c>
      <c r="O98" s="37"/>
      <c r="P98" s="38" t="str">
        <f t="shared" si="92"/>
        <v/>
      </c>
      <c r="Q98" s="37"/>
      <c r="R98" s="38" t="str">
        <f t="shared" si="93"/>
        <v/>
      </c>
      <c r="S98" s="37"/>
      <c r="T98" s="38" t="str">
        <f t="shared" si="94"/>
        <v/>
      </c>
      <c r="U98" s="37"/>
      <c r="V98" s="38" t="str">
        <f t="shared" si="95"/>
        <v/>
      </c>
      <c r="AF98" s="34"/>
      <c r="AG98" s="34"/>
      <c r="AH98" s="34"/>
      <c r="AI98" s="34"/>
      <c r="AJ98" s="34"/>
      <c r="DG98" s="8" t="str">
        <f t="shared" si="96"/>
        <v/>
      </c>
      <c r="DH98" s="3">
        <f t="shared" si="102"/>
        <v>7</v>
      </c>
      <c r="DN98" s="12">
        <f t="shared" si="97"/>
        <v>0</v>
      </c>
      <c r="DO98" s="5">
        <f t="shared" si="98"/>
        <v>0</v>
      </c>
      <c r="DP98" s="5" t="str">
        <f t="shared" si="99"/>
        <v/>
      </c>
      <c r="DQ98" s="5" t="str">
        <f t="shared" si="100"/>
        <v/>
      </c>
      <c r="DR98" s="5">
        <f t="shared" si="101"/>
        <v>0</v>
      </c>
    </row>
    <row r="99" spans="1:122" ht="11.25" customHeight="1" x14ac:dyDescent="0.2">
      <c r="C99" s="2" t="str">
        <f>ß15</f>
        <v>St. Pauli</v>
      </c>
      <c r="D99" s="3" t="s">
        <v>11</v>
      </c>
      <c r="E99" s="2" t="str">
        <f>ß04</f>
        <v>Hoffenheim</v>
      </c>
      <c r="F99" s="29"/>
      <c r="G99" s="3" t="s">
        <v>12</v>
      </c>
      <c r="H99" s="30"/>
      <c r="I99" s="37"/>
      <c r="J99" s="38" t="str">
        <f t="shared" si="89"/>
        <v/>
      </c>
      <c r="K99" s="37"/>
      <c r="L99" s="38" t="str">
        <f t="shared" si="90"/>
        <v/>
      </c>
      <c r="M99" s="37"/>
      <c r="N99" s="38" t="str">
        <f t="shared" si="91"/>
        <v/>
      </c>
      <c r="O99" s="37"/>
      <c r="P99" s="38" t="str">
        <f t="shared" si="92"/>
        <v/>
      </c>
      <c r="Q99" s="37"/>
      <c r="R99" s="38" t="str">
        <f t="shared" si="93"/>
        <v/>
      </c>
      <c r="S99" s="37"/>
      <c r="T99" s="38" t="str">
        <f t="shared" si="94"/>
        <v/>
      </c>
      <c r="U99" s="37"/>
      <c r="V99" s="38" t="str">
        <f t="shared" si="95"/>
        <v/>
      </c>
      <c r="AF99" s="34"/>
      <c r="AG99" s="34"/>
      <c r="AH99" s="34"/>
      <c r="AI99" s="34"/>
      <c r="AJ99" s="34"/>
      <c r="DG99" s="8" t="str">
        <f t="shared" si="96"/>
        <v/>
      </c>
      <c r="DH99" s="3">
        <f t="shared" si="102"/>
        <v>7</v>
      </c>
      <c r="DN99" s="12">
        <f t="shared" si="97"/>
        <v>0</v>
      </c>
      <c r="DO99" s="5">
        <f t="shared" si="98"/>
        <v>0</v>
      </c>
      <c r="DP99" s="5" t="str">
        <f t="shared" si="99"/>
        <v/>
      </c>
      <c r="DQ99" s="5" t="str">
        <f t="shared" si="100"/>
        <v/>
      </c>
      <c r="DR99" s="5">
        <f t="shared" si="101"/>
        <v>0</v>
      </c>
    </row>
    <row r="100" spans="1:122" ht="11.25" customHeight="1" x14ac:dyDescent="0.2">
      <c r="C100" s="2" t="str">
        <f>ß17</f>
        <v>Heidenheim</v>
      </c>
      <c r="D100" s="3" t="s">
        <v>11</v>
      </c>
      <c r="E100" s="2" t="str">
        <f>ß06</f>
        <v>Werder</v>
      </c>
      <c r="F100" s="29"/>
      <c r="G100" s="3" t="s">
        <v>12</v>
      </c>
      <c r="H100" s="30"/>
      <c r="I100" s="37"/>
      <c r="J100" s="38" t="str">
        <f t="shared" si="89"/>
        <v/>
      </c>
      <c r="K100" s="37"/>
      <c r="L100" s="38" t="str">
        <f t="shared" si="90"/>
        <v/>
      </c>
      <c r="M100" s="37"/>
      <c r="N100" s="38" t="str">
        <f t="shared" si="91"/>
        <v/>
      </c>
      <c r="O100" s="37"/>
      <c r="P100" s="38" t="str">
        <f t="shared" si="92"/>
        <v/>
      </c>
      <c r="Q100" s="37"/>
      <c r="R100" s="38" t="str">
        <f t="shared" si="93"/>
        <v/>
      </c>
      <c r="S100" s="37"/>
      <c r="T100" s="38" t="str">
        <f t="shared" si="94"/>
        <v/>
      </c>
      <c r="U100" s="37"/>
      <c r="V100" s="38" t="str">
        <f t="shared" si="95"/>
        <v/>
      </c>
      <c r="AF100" s="34"/>
      <c r="AG100" s="34"/>
      <c r="AH100" s="34"/>
      <c r="AI100" s="34"/>
      <c r="AJ100" s="34"/>
      <c r="DG100" s="8" t="str">
        <f t="shared" si="96"/>
        <v/>
      </c>
      <c r="DH100" s="3">
        <f t="shared" si="102"/>
        <v>7</v>
      </c>
      <c r="DN100" s="12">
        <f t="shared" si="97"/>
        <v>0</v>
      </c>
      <c r="DO100" s="5">
        <f t="shared" si="98"/>
        <v>0</v>
      </c>
      <c r="DP100" s="5" t="str">
        <f t="shared" si="99"/>
        <v/>
      </c>
      <c r="DQ100" s="5" t="str">
        <f t="shared" si="100"/>
        <v/>
      </c>
      <c r="DR100" s="5">
        <f t="shared" si="101"/>
        <v>0</v>
      </c>
    </row>
    <row r="101" spans="1:122" ht="11.25" customHeight="1" thickBot="1" x14ac:dyDescent="0.25">
      <c r="C101" s="2" t="str">
        <f>ß10</f>
        <v>Köln</v>
      </c>
      <c r="D101" s="3" t="s">
        <v>11</v>
      </c>
      <c r="E101" s="2" t="str">
        <f>ß08</f>
        <v>Augsburg</v>
      </c>
      <c r="F101" s="29"/>
      <c r="G101" s="3" t="s">
        <v>12</v>
      </c>
      <c r="H101" s="30"/>
      <c r="I101" s="37"/>
      <c r="J101" s="38" t="str">
        <f t="shared" si="89"/>
        <v/>
      </c>
      <c r="K101" s="37"/>
      <c r="L101" s="38" t="str">
        <f t="shared" si="90"/>
        <v/>
      </c>
      <c r="M101" s="37"/>
      <c r="N101" s="38" t="str">
        <f t="shared" si="91"/>
        <v/>
      </c>
      <c r="O101" s="37"/>
      <c r="P101" s="38" t="str">
        <f t="shared" si="92"/>
        <v/>
      </c>
      <c r="Q101" s="37"/>
      <c r="R101" s="38" t="str">
        <f t="shared" si="93"/>
        <v/>
      </c>
      <c r="S101" s="37"/>
      <c r="T101" s="38" t="str">
        <f t="shared" si="94"/>
        <v/>
      </c>
      <c r="U101" s="37"/>
      <c r="V101" s="38" t="str">
        <f t="shared" si="95"/>
        <v/>
      </c>
      <c r="AF101" s="34"/>
      <c r="AG101" s="34"/>
      <c r="AH101" s="34"/>
      <c r="AI101" s="34"/>
      <c r="AJ101" s="34"/>
      <c r="DG101" s="8" t="str">
        <f t="shared" si="96"/>
        <v/>
      </c>
      <c r="DH101" s="3">
        <f t="shared" si="102"/>
        <v>7</v>
      </c>
      <c r="DN101" s="12">
        <f t="shared" si="97"/>
        <v>0</v>
      </c>
      <c r="DO101" s="5">
        <f t="shared" si="98"/>
        <v>0</v>
      </c>
      <c r="DP101" s="5" t="str">
        <f t="shared" si="99"/>
        <v/>
      </c>
      <c r="DQ101" s="5" t="str">
        <f t="shared" si="100"/>
        <v/>
      </c>
      <c r="DR101" s="5">
        <f t="shared" si="101"/>
        <v>0</v>
      </c>
    </row>
    <row r="102" spans="1:122" ht="11.25" customHeight="1" thickTop="1" x14ac:dyDescent="0.2">
      <c r="C102" s="41">
        <f>(I102+K102+M102+O102+Q102+S102+U102)</f>
        <v>0</v>
      </c>
      <c r="E102" s="42">
        <f>C102/8</f>
        <v>0</v>
      </c>
      <c r="F102" s="41">
        <f>SUM(F93:F101)</f>
        <v>0</v>
      </c>
      <c r="G102" s="2"/>
      <c r="H102" s="43">
        <f>SUM(H93:H101)</f>
        <v>0</v>
      </c>
      <c r="I102" s="44">
        <f>COUNTIF(J93:J101,"&gt;0")</f>
        <v>0</v>
      </c>
      <c r="J102" s="45">
        <f>I102+J87</f>
        <v>0</v>
      </c>
      <c r="K102" s="44">
        <f>COUNTIF(L93:L101,"&gt;0")</f>
        <v>0</v>
      </c>
      <c r="L102" s="45">
        <f>K102+L87</f>
        <v>0</v>
      </c>
      <c r="M102" s="44">
        <f>COUNTIF(N93:N101,"&gt;0")</f>
        <v>0</v>
      </c>
      <c r="N102" s="45">
        <f>M102+N87</f>
        <v>0</v>
      </c>
      <c r="O102" s="44">
        <f>COUNTIF(P93:P101,"&gt;0")</f>
        <v>0</v>
      </c>
      <c r="P102" s="45">
        <f>O102+P87</f>
        <v>0</v>
      </c>
      <c r="Q102" s="44">
        <f>COUNTIF(R93:R101,"&gt;0")</f>
        <v>0</v>
      </c>
      <c r="R102" s="45">
        <f>Q102+R87</f>
        <v>0</v>
      </c>
      <c r="S102" s="44">
        <f>COUNTIF(T93:T101,"&gt;0")</f>
        <v>0</v>
      </c>
      <c r="T102" s="45">
        <f>S102+T87</f>
        <v>0</v>
      </c>
      <c r="U102" s="44">
        <f>COUNTIF(V93:V101,"&gt;0")</f>
        <v>0</v>
      </c>
      <c r="V102" s="45">
        <f>U102+V87</f>
        <v>0</v>
      </c>
      <c r="AF102" s="34"/>
      <c r="AG102" s="34"/>
      <c r="AH102" s="34"/>
      <c r="AI102" s="34"/>
      <c r="AJ102" s="34"/>
      <c r="DN102" s="12"/>
    </row>
    <row r="103" spans="1:122" ht="11.25" customHeight="1" x14ac:dyDescent="0.2">
      <c r="C103" s="41">
        <f>(I103+K103+M103+O103+Q103+S103+U103)</f>
        <v>0</v>
      </c>
      <c r="E103" s="42">
        <f>C103/8</f>
        <v>0</v>
      </c>
      <c r="F103" s="137">
        <f>F102+H102</f>
        <v>0</v>
      </c>
      <c r="G103" s="137"/>
      <c r="H103" s="137"/>
      <c r="I103" s="46">
        <f>SUM(J93:J101)</f>
        <v>0</v>
      </c>
      <c r="J103" s="47">
        <f>I103+J88</f>
        <v>0</v>
      </c>
      <c r="K103" s="46">
        <f>SUM(L93:L101)</f>
        <v>0</v>
      </c>
      <c r="L103" s="47">
        <f>K103+L88</f>
        <v>0</v>
      </c>
      <c r="M103" s="46">
        <f>SUM(N93:N101)</f>
        <v>0</v>
      </c>
      <c r="N103" s="47">
        <f>M103+N88</f>
        <v>0</v>
      </c>
      <c r="O103" s="46">
        <f>SUM(P93:P101)</f>
        <v>0</v>
      </c>
      <c r="P103" s="47">
        <f>O103+P88</f>
        <v>0</v>
      </c>
      <c r="Q103" s="46">
        <f>SUM(R93:R101)</f>
        <v>0</v>
      </c>
      <c r="R103" s="47">
        <f>Q103+R88</f>
        <v>0</v>
      </c>
      <c r="S103" s="46">
        <f>SUM(T93:T101)</f>
        <v>0</v>
      </c>
      <c r="T103" s="47">
        <f>S103+T88</f>
        <v>0</v>
      </c>
      <c r="U103" s="46">
        <f>SUM(V93:V101)</f>
        <v>0</v>
      </c>
      <c r="V103" s="47">
        <f>U103+V88</f>
        <v>0</v>
      </c>
      <c r="AF103" s="34"/>
      <c r="AG103" s="34"/>
      <c r="AH103" s="34"/>
      <c r="AI103" s="34"/>
      <c r="AJ103" s="34"/>
      <c r="DN103" s="12"/>
    </row>
    <row r="104" spans="1:122" s="5" customFormat="1" ht="11.25" customHeight="1" thickBot="1" x14ac:dyDescent="0.25">
      <c r="A104" s="1"/>
      <c r="B104" s="1"/>
      <c r="C104" s="41">
        <f>(I104+K104+M104+O104+Q104+S104+U104)</f>
        <v>0</v>
      </c>
      <c r="D104" s="3"/>
      <c r="E104" s="42">
        <f>C104/8</f>
        <v>0</v>
      </c>
      <c r="F104" s="138">
        <f>F103+F89</f>
        <v>0</v>
      </c>
      <c r="G104" s="138"/>
      <c r="H104" s="138"/>
      <c r="I104" s="48">
        <f>I102*I103</f>
        <v>0</v>
      </c>
      <c r="J104" s="49">
        <f>I104+J89</f>
        <v>0</v>
      </c>
      <c r="K104" s="48">
        <f>K102*K103</f>
        <v>0</v>
      </c>
      <c r="L104" s="49">
        <f>K104+L89</f>
        <v>0</v>
      </c>
      <c r="M104" s="48">
        <f>M102*M103</f>
        <v>0</v>
      </c>
      <c r="N104" s="49">
        <f>M104+N89</f>
        <v>0</v>
      </c>
      <c r="O104" s="48">
        <f>O102*O103</f>
        <v>0</v>
      </c>
      <c r="P104" s="49">
        <f>O104+P89</f>
        <v>0</v>
      </c>
      <c r="Q104" s="48">
        <f>Q102*Q103</f>
        <v>0</v>
      </c>
      <c r="R104" s="49">
        <f>Q104+R89</f>
        <v>0</v>
      </c>
      <c r="S104" s="48">
        <f>S102*S103</f>
        <v>0</v>
      </c>
      <c r="T104" s="49">
        <f>S104+T89</f>
        <v>0</v>
      </c>
      <c r="U104" s="48">
        <f>U102*U103</f>
        <v>0</v>
      </c>
      <c r="V104" s="49">
        <f>U104+V89</f>
        <v>0</v>
      </c>
      <c r="AF104" s="34"/>
      <c r="AG104" s="34"/>
      <c r="AH104" s="34"/>
      <c r="AI104" s="34"/>
      <c r="AJ104" s="34"/>
      <c r="AL104" s="5">
        <f>MAX(I104,K104,M104,O104,Q104,S104,U104)</f>
        <v>0</v>
      </c>
      <c r="AM104" s="5">
        <f>MIN(I104,K104,M104,O104,Q104,S104,U104)</f>
        <v>0</v>
      </c>
      <c r="AS104" s="13"/>
      <c r="BC104" s="6"/>
      <c r="BF104" s="14"/>
      <c r="BG104" s="13"/>
      <c r="BI104" s="14"/>
      <c r="BJ104" s="13"/>
      <c r="BL104" s="14"/>
      <c r="BM104" s="13"/>
      <c r="BO104" s="14"/>
      <c r="BP104" s="13"/>
      <c r="BR104" s="14"/>
      <c r="BS104" s="13"/>
      <c r="BU104" s="14"/>
      <c r="BV104" s="13"/>
      <c r="BX104" s="14"/>
      <c r="BY104" s="13"/>
      <c r="CA104" s="14"/>
      <c r="CB104" s="13"/>
      <c r="CD104" s="14"/>
      <c r="CE104" s="13"/>
      <c r="CG104" s="14"/>
      <c r="CH104" s="13"/>
      <c r="CJ104" s="14"/>
      <c r="CK104" s="13"/>
      <c r="CM104" s="14"/>
      <c r="CN104" s="13"/>
      <c r="CP104" s="14"/>
      <c r="CQ104" s="13"/>
      <c r="CS104" s="14"/>
      <c r="CT104" s="13"/>
      <c r="CV104" s="14"/>
      <c r="CW104" s="13"/>
      <c r="CY104" s="14"/>
      <c r="CZ104" s="13"/>
      <c r="DB104" s="14"/>
      <c r="DC104" s="13"/>
      <c r="DE104" s="14"/>
      <c r="DI104" s="9"/>
      <c r="DJ104" s="10"/>
      <c r="DK104" s="10"/>
      <c r="DL104" s="10"/>
      <c r="DM104" s="10"/>
      <c r="DN104" s="12"/>
    </row>
    <row r="105" spans="1:122" ht="11.25" customHeight="1" thickTop="1" x14ac:dyDescent="0.2">
      <c r="I105" s="50"/>
      <c r="J105" s="50">
        <f>L104-J104</f>
        <v>0</v>
      </c>
      <c r="K105" s="50"/>
      <c r="L105" s="50"/>
      <c r="M105" s="50"/>
      <c r="N105" s="50">
        <f>L104-N104</f>
        <v>0</v>
      </c>
      <c r="O105" s="50"/>
      <c r="P105" s="50">
        <f>L104-P104</f>
        <v>0</v>
      </c>
      <c r="Q105" s="50"/>
      <c r="R105" s="50">
        <f>L104-R104</f>
        <v>0</v>
      </c>
      <c r="S105" s="50"/>
      <c r="T105" s="50">
        <f>L104-T104</f>
        <v>0</v>
      </c>
      <c r="U105" s="50"/>
      <c r="V105" s="50">
        <f>L104-V104</f>
        <v>0</v>
      </c>
    </row>
    <row r="106" spans="1:122" ht="11.25" customHeight="1" x14ac:dyDescent="0.2">
      <c r="I106" s="139" t="str">
        <f>ß101</f>
        <v>Kropp</v>
      </c>
      <c r="J106" s="139"/>
      <c r="K106" s="139" t="str">
        <f>ß102</f>
        <v>Nörnberg</v>
      </c>
      <c r="L106" s="139"/>
      <c r="M106" s="139" t="str">
        <f>ß103</f>
        <v>Bübel</v>
      </c>
      <c r="N106" s="139"/>
      <c r="O106" s="139" t="str">
        <f>ß104</f>
        <v>Schwicht.</v>
      </c>
      <c r="P106" s="139"/>
      <c r="Q106" s="139" t="str">
        <f>ß105</f>
        <v>Rontzko.</v>
      </c>
      <c r="R106" s="139"/>
      <c r="S106" s="139" t="str">
        <f>ß106</f>
        <v>Hauschildt</v>
      </c>
      <c r="T106" s="139"/>
      <c r="U106" s="139" t="str">
        <f>ß107</f>
        <v>Zerres</v>
      </c>
      <c r="V106" s="139"/>
      <c r="AF106" s="11"/>
      <c r="AG106" s="11"/>
      <c r="AH106" s="11"/>
      <c r="AI106" s="11"/>
      <c r="AJ106" s="11"/>
      <c r="AL106" s="5" t="str">
        <f>IF($I119=$AL119,I106,"x")</f>
        <v>Kropp</v>
      </c>
      <c r="AM106" s="5" t="str">
        <f>IF($K119=$AL119,K106,"x")</f>
        <v>Nörnberg</v>
      </c>
      <c r="AN106" s="5" t="str">
        <f>IF($M119=$AL119,M106,"x")</f>
        <v>Bübel</v>
      </c>
      <c r="AO106" s="5" t="str">
        <f>IF($O119=$AL119,O106,"x")</f>
        <v>Schwicht.</v>
      </c>
      <c r="AP106" s="5" t="str">
        <f>IF($Q119=$AL119,Q106,"x")</f>
        <v>Rontzko.</v>
      </c>
      <c r="AQ106" s="5" t="str">
        <f>IF($S119=$AL119,S106,"x")</f>
        <v>Hauschildt</v>
      </c>
      <c r="AR106" s="5" t="str">
        <f>IF($U119=$AL119,U106,"x")</f>
        <v>Zerres</v>
      </c>
      <c r="AS106" s="13" t="str">
        <f>IF($I119=$AM119,I106,"x")</f>
        <v>Kropp</v>
      </c>
      <c r="AT106" s="5" t="str">
        <f>IF($K119=$AM119,K106,"x")</f>
        <v>Nörnberg</v>
      </c>
      <c r="AU106" s="5" t="str">
        <f>IF($M119=$AM119,M106,"x")</f>
        <v>Bübel</v>
      </c>
      <c r="AV106" s="5" t="str">
        <f>IF($O119=$AM119,O106,"x")</f>
        <v>Schwicht.</v>
      </c>
      <c r="AW106" s="5" t="str">
        <f>IF($Q119=$AM119,Q106,"x")</f>
        <v>Rontzko.</v>
      </c>
      <c r="AX106" s="5" t="str">
        <f>IF($S119=$AM119,S106,"x")</f>
        <v>Hauschildt</v>
      </c>
      <c r="AY106" s="5" t="str">
        <f>IF($U119=$AM119,U106,"x")</f>
        <v>Zerres</v>
      </c>
      <c r="BD106" s="140" t="str">
        <f>ß01</f>
        <v>Bayern</v>
      </c>
      <c r="BE106" s="140"/>
      <c r="BF106" s="140"/>
      <c r="BG106" s="141" t="str">
        <f>ß02</f>
        <v>Leipzig</v>
      </c>
      <c r="BH106" s="141"/>
      <c r="BI106" s="141"/>
      <c r="BJ106" s="141" t="str">
        <f>ß03</f>
        <v>Leverk.</v>
      </c>
      <c r="BK106" s="141"/>
      <c r="BL106" s="141"/>
      <c r="BM106" s="141" t="str">
        <f>ß04</f>
        <v>Hoffenheim</v>
      </c>
      <c r="BN106" s="141"/>
      <c r="BO106" s="141"/>
      <c r="BP106" s="141" t="str">
        <f>ß05</f>
        <v>Frankfurt</v>
      </c>
      <c r="BQ106" s="141"/>
      <c r="BR106" s="141"/>
      <c r="BS106" s="141" t="str">
        <f>ß06</f>
        <v>Werder</v>
      </c>
      <c r="BT106" s="141"/>
      <c r="BU106" s="141"/>
      <c r="BV106" s="141" t="str">
        <f>ß07</f>
        <v>Freiburg</v>
      </c>
      <c r="BW106" s="141"/>
      <c r="BX106" s="141"/>
      <c r="BY106" s="141" t="str">
        <f>ß08</f>
        <v>Augsburg</v>
      </c>
      <c r="BZ106" s="141"/>
      <c r="CA106" s="141"/>
      <c r="CB106" s="141" t="str">
        <f>ß09</f>
        <v>Mainz</v>
      </c>
      <c r="CC106" s="141"/>
      <c r="CD106" s="141"/>
      <c r="CE106" s="141" t="str">
        <f>ß10</f>
        <v>Köln</v>
      </c>
      <c r="CF106" s="141"/>
      <c r="CG106" s="141"/>
      <c r="CH106" s="141" t="str">
        <f>ß11</f>
        <v>M'gladb.</v>
      </c>
      <c r="CI106" s="141"/>
      <c r="CJ106" s="141"/>
      <c r="CK106" s="141" t="str">
        <f>ß12</f>
        <v>HSV</v>
      </c>
      <c r="CL106" s="141"/>
      <c r="CM106" s="141"/>
      <c r="CN106" s="141" t="str">
        <f>ß13</f>
        <v>Union</v>
      </c>
      <c r="CO106" s="141"/>
      <c r="CP106" s="141"/>
      <c r="CQ106" s="141" t="str">
        <f>ß14</f>
        <v>Stuttgart</v>
      </c>
      <c r="CR106" s="141"/>
      <c r="CS106" s="141"/>
      <c r="CT106" s="141" t="str">
        <f>ß15</f>
        <v>St. Pauli</v>
      </c>
      <c r="CU106" s="141"/>
      <c r="CV106" s="141"/>
      <c r="CW106" s="141" t="str">
        <f>ß16</f>
        <v>Dortmund</v>
      </c>
      <c r="CX106" s="141"/>
      <c r="CY106" s="141"/>
      <c r="CZ106" s="141" t="str">
        <f>ß17</f>
        <v>Heidenheim</v>
      </c>
      <c r="DA106" s="141"/>
      <c r="DB106" s="141"/>
      <c r="DC106" s="141" t="str">
        <f>ß18</f>
        <v>Wolfsburg</v>
      </c>
      <c r="DD106" s="141"/>
      <c r="DE106" s="141"/>
      <c r="DN106" s="12"/>
    </row>
    <row r="107" spans="1:122" ht="11.25" customHeight="1" x14ac:dyDescent="0.2">
      <c r="C107" s="16" t="str">
        <f>Mannschaften!F8</f>
        <v>8. Spieltag</v>
      </c>
      <c r="D107" s="11"/>
      <c r="E107" s="17" t="str">
        <f>Mannschaften!G8</f>
        <v>24.-26.10.25</v>
      </c>
      <c r="I107" s="19">
        <f>RANK(Rang!A8,Rang!A8:G8)</f>
        <v>1</v>
      </c>
      <c r="J107" s="20">
        <f>RANK(Rang!H8,Rang!H8:N8)</f>
        <v>1</v>
      </c>
      <c r="K107" s="19">
        <f>RANK(Rang!B8,Rang!A8:G8)</f>
        <v>1</v>
      </c>
      <c r="L107" s="20">
        <f>RANK(Rang!I8,Rang!H8:N8)</f>
        <v>1</v>
      </c>
      <c r="M107" s="19">
        <f>RANK(Rang!C8,Rang!A8:G8)</f>
        <v>1</v>
      </c>
      <c r="N107" s="20">
        <f>RANK(Rang!J8,Rang!H8:N8)</f>
        <v>1</v>
      </c>
      <c r="O107" s="19">
        <f>RANK(Rang!D8,Rang!A8:G8)</f>
        <v>1</v>
      </c>
      <c r="P107" s="20">
        <f>RANK(Rang!K8,Rang!H8:N8)</f>
        <v>1</v>
      </c>
      <c r="Q107" s="19">
        <f>RANK(Rang!E8,Rang!A8:G8)</f>
        <v>1</v>
      </c>
      <c r="R107" s="20">
        <f>RANK(Rang!L8,Rang!H8:N8)</f>
        <v>1</v>
      </c>
      <c r="S107" s="19">
        <f>RANK(Rang!F8,Rang!A8:G8)</f>
        <v>1</v>
      </c>
      <c r="T107" s="20">
        <f>RANK(Rang!M8,Rang!H8:N8)</f>
        <v>1</v>
      </c>
      <c r="U107" s="19">
        <f>RANK(Rang!G8,Rang!A8:G8)</f>
        <v>1</v>
      </c>
      <c r="V107" s="20">
        <f>RANK(Rang!N8,Rang!H8:N8)</f>
        <v>1</v>
      </c>
      <c r="AF107" s="22"/>
      <c r="AG107" s="22"/>
      <c r="AH107" s="22"/>
      <c r="AI107" s="22"/>
      <c r="AJ107" s="22"/>
      <c r="AK107" s="21"/>
      <c r="AL107" s="21"/>
      <c r="AM107" s="21"/>
      <c r="AN107" s="21"/>
      <c r="AO107" s="21"/>
      <c r="AP107" s="21"/>
      <c r="AQ107" s="21"/>
      <c r="AR107" s="21"/>
      <c r="AS107" s="24"/>
      <c r="AT107" s="21"/>
      <c r="AU107" s="21"/>
      <c r="AV107" s="21"/>
      <c r="AW107" s="21"/>
      <c r="AX107" s="21"/>
      <c r="AY107" s="21"/>
      <c r="AZ107" s="21"/>
      <c r="BA107" s="21"/>
      <c r="BB107" s="21"/>
      <c r="BD107" s="25" t="s">
        <v>4</v>
      </c>
      <c r="BE107" s="25" t="s">
        <v>5</v>
      </c>
      <c r="BF107" s="26" t="s">
        <v>6</v>
      </c>
      <c r="BG107" s="27" t="s">
        <v>4</v>
      </c>
      <c r="BH107" s="25" t="s">
        <v>5</v>
      </c>
      <c r="BI107" s="26" t="s">
        <v>6</v>
      </c>
      <c r="BJ107" s="27" t="s">
        <v>4</v>
      </c>
      <c r="BK107" s="25" t="s">
        <v>5</v>
      </c>
      <c r="BL107" s="26" t="s">
        <v>6</v>
      </c>
      <c r="BM107" s="27" t="s">
        <v>4</v>
      </c>
      <c r="BN107" s="25" t="s">
        <v>5</v>
      </c>
      <c r="BO107" s="26" t="s">
        <v>6</v>
      </c>
      <c r="BP107" s="27" t="s">
        <v>4</v>
      </c>
      <c r="BQ107" s="25" t="s">
        <v>5</v>
      </c>
      <c r="BR107" s="26" t="s">
        <v>6</v>
      </c>
      <c r="BS107" s="27" t="s">
        <v>4</v>
      </c>
      <c r="BT107" s="25" t="s">
        <v>5</v>
      </c>
      <c r="BU107" s="26" t="s">
        <v>6</v>
      </c>
      <c r="BV107" s="27" t="s">
        <v>4</v>
      </c>
      <c r="BW107" s="25" t="s">
        <v>5</v>
      </c>
      <c r="BX107" s="26" t="s">
        <v>6</v>
      </c>
      <c r="BY107" s="27" t="s">
        <v>4</v>
      </c>
      <c r="BZ107" s="25" t="s">
        <v>5</v>
      </c>
      <c r="CA107" s="26" t="s">
        <v>6</v>
      </c>
      <c r="CB107" s="27" t="s">
        <v>4</v>
      </c>
      <c r="CC107" s="25" t="s">
        <v>5</v>
      </c>
      <c r="CD107" s="26" t="s">
        <v>6</v>
      </c>
      <c r="CE107" s="27" t="s">
        <v>4</v>
      </c>
      <c r="CF107" s="25" t="s">
        <v>5</v>
      </c>
      <c r="CG107" s="26" t="s">
        <v>6</v>
      </c>
      <c r="CH107" s="27" t="s">
        <v>4</v>
      </c>
      <c r="CI107" s="25" t="s">
        <v>5</v>
      </c>
      <c r="CJ107" s="26" t="s">
        <v>6</v>
      </c>
      <c r="CK107" s="27" t="s">
        <v>4</v>
      </c>
      <c r="CL107" s="25" t="s">
        <v>5</v>
      </c>
      <c r="CM107" s="26" t="s">
        <v>6</v>
      </c>
      <c r="CN107" s="27" t="s">
        <v>4</v>
      </c>
      <c r="CO107" s="25" t="s">
        <v>5</v>
      </c>
      <c r="CP107" s="26" t="s">
        <v>6</v>
      </c>
      <c r="CQ107" s="27" t="s">
        <v>4</v>
      </c>
      <c r="CR107" s="25" t="s">
        <v>5</v>
      </c>
      <c r="CS107" s="26" t="s">
        <v>6</v>
      </c>
      <c r="CT107" s="27" t="s">
        <v>4</v>
      </c>
      <c r="CU107" s="25" t="s">
        <v>5</v>
      </c>
      <c r="CV107" s="26" t="s">
        <v>6</v>
      </c>
      <c r="CW107" s="27" t="s">
        <v>4</v>
      </c>
      <c r="CX107" s="25" t="s">
        <v>5</v>
      </c>
      <c r="CY107" s="26" t="s">
        <v>6</v>
      </c>
      <c r="CZ107" s="27" t="s">
        <v>4</v>
      </c>
      <c r="DA107" s="25" t="s">
        <v>5</v>
      </c>
      <c r="DB107" s="26" t="s">
        <v>6</v>
      </c>
      <c r="DC107" s="27" t="s">
        <v>4</v>
      </c>
      <c r="DD107" s="25" t="s">
        <v>5</v>
      </c>
      <c r="DE107" s="26" t="s">
        <v>6</v>
      </c>
      <c r="DF107" s="21"/>
      <c r="DG107" s="21"/>
      <c r="DH107" s="21"/>
      <c r="DN107" s="136" t="s">
        <v>7</v>
      </c>
      <c r="DO107" s="136"/>
      <c r="DP107" s="136" t="s">
        <v>8</v>
      </c>
      <c r="DQ107" s="136"/>
      <c r="DR107" s="28"/>
    </row>
    <row r="108" spans="1:122" ht="11.25" customHeight="1" x14ac:dyDescent="0.2">
      <c r="C108" s="2" t="str">
        <f>ß03</f>
        <v>Leverk.</v>
      </c>
      <c r="D108" s="3" t="s">
        <v>11</v>
      </c>
      <c r="E108" s="2" t="str">
        <f>ß07</f>
        <v>Freiburg</v>
      </c>
      <c r="F108" s="29"/>
      <c r="G108" s="3" t="s">
        <v>12</v>
      </c>
      <c r="H108" s="30"/>
      <c r="I108" s="31"/>
      <c r="J108" s="32" t="str">
        <f t="shared" ref="J108:J116" si="103">IF($F108="","",(IF(I108="","",IF(I108=$DG108,(VLOOKUP($DH108,$DJ$3:$DK$11,2,FALSE())),0))))</f>
        <v/>
      </c>
      <c r="K108" s="31"/>
      <c r="L108" s="32" t="str">
        <f t="shared" ref="L108:L116" si="104">IF($F108="","",(IF(K108="","",IF(K108=$DG108,(VLOOKUP($DH108,$DJ$3:$DK$11,2,FALSE())),0))))</f>
        <v/>
      </c>
      <c r="M108" s="31"/>
      <c r="N108" s="32" t="str">
        <f t="shared" ref="N108:N116" si="105">IF($F108="","",(IF(M108="","",IF(M108=$DG108,(VLOOKUP($DH108,$DJ$3:$DK$11,2,FALSE())),0))))</f>
        <v/>
      </c>
      <c r="O108" s="31"/>
      <c r="P108" s="32" t="str">
        <f t="shared" ref="P108:P116" si="106">IF($F108="","",(IF(O108="","",IF(O108=$DG108,(VLOOKUP($DH108,$DJ$3:$DK$11,2,FALSE())),0))))</f>
        <v/>
      </c>
      <c r="Q108" s="31"/>
      <c r="R108" s="32" t="str">
        <f t="shared" ref="R108:R116" si="107">IF($F108="","",(IF(Q108="","",IF(Q108=$DG108,(VLOOKUP($DH108,$DJ$3:$DK$11,2,FALSE())),0))))</f>
        <v/>
      </c>
      <c r="S108" s="31"/>
      <c r="T108" s="32" t="str">
        <f t="shared" ref="T108:T116" si="108">IF($F108="","",(IF(S108="","",IF(S108=$DG108,(VLOOKUP($DH108,$DJ$3:$DK$11,2,FALSE())),0))))</f>
        <v/>
      </c>
      <c r="U108" s="31"/>
      <c r="V108" s="32" t="str">
        <f t="shared" ref="V108:V116" si="109">IF($F108="","",(IF(U108="","",IF(U108=$DG108,(VLOOKUP($DH108,$DJ$3:$DK$11,2,FALSE())),0))))</f>
        <v/>
      </c>
      <c r="AF108" s="34"/>
      <c r="AG108" s="34"/>
      <c r="AH108" s="34"/>
      <c r="AI108" s="34"/>
      <c r="AJ108" s="34"/>
      <c r="AN108" s="5"/>
      <c r="AO108" s="5"/>
      <c r="AP108" s="5"/>
      <c r="AQ108" s="5"/>
      <c r="AR108" s="5"/>
      <c r="AS108" s="13"/>
      <c r="AT108" s="5"/>
      <c r="AU108" s="5"/>
      <c r="AV108" s="5"/>
      <c r="AW108" s="5"/>
      <c r="AX108" s="5"/>
      <c r="AY108" s="5"/>
      <c r="BC108" s="6">
        <v>107</v>
      </c>
      <c r="BD108" s="35" t="str">
        <f>IF(ISERROR(MATCH(ß01,$C108:$C116,0)),"",MATCH(ß01,$C108:$C116,0))</f>
        <v/>
      </c>
      <c r="BE108" s="35">
        <f>IF(ISERROR(MATCH(ß01,$E108:$E116,0)),"",MATCH(ß01,$E108:$E116,0))</f>
        <v>6</v>
      </c>
      <c r="BF108" s="15">
        <f>SUM(BD108:BE108)+BC108</f>
        <v>113</v>
      </c>
      <c r="BG108" s="36" t="str">
        <f>IF(ISERROR(MATCH(ß02,$C108:$C116,0)),"",MATCH(ß02,$C108:$C116,0))</f>
        <v/>
      </c>
      <c r="BH108" s="35">
        <f>IF(ISERROR(MATCH(ß02,$E108:$E116,0)),"",MATCH(ß02,$E108:$E116,0))</f>
        <v>7</v>
      </c>
      <c r="BI108" s="15">
        <f>SUM(BG108:BH108)+BC108</f>
        <v>114</v>
      </c>
      <c r="BJ108" s="36">
        <f>IF(ISERROR(MATCH(ß03,$C108:$C116,0)),"",MATCH(ß03,$C108:$C116,0))</f>
        <v>1</v>
      </c>
      <c r="BK108" s="35" t="str">
        <f>IF(ISERROR(MATCH(ß03,$E108:$E116,0)),"",MATCH(ß03,$E108:$E116,0))</f>
        <v/>
      </c>
      <c r="BL108" s="15">
        <f>SUM(BJ108:BK108)+BC108</f>
        <v>108</v>
      </c>
      <c r="BM108" s="36">
        <f>IF(ISERROR(MATCH(ß04,$C108:$C116,0)),"",MATCH(ß04,$C108:$C116,0))</f>
        <v>8</v>
      </c>
      <c r="BN108" s="35" t="str">
        <f>IF(ISERROR(MATCH(ß04,$E108:$E116,0)),"",MATCH(ß04,$E108:$E116,0))</f>
        <v/>
      </c>
      <c r="BO108" s="15">
        <f>SUM(BM108:BN108)+BC108</f>
        <v>115</v>
      </c>
      <c r="BP108" s="36">
        <f>IF(ISERROR(MATCH(ß05,$C108:$C116,0)),"",MATCH(ß05,$C108:$C116,0))</f>
        <v>2</v>
      </c>
      <c r="BQ108" s="35" t="str">
        <f>IF(ISERROR(MATCH(ß05,$E108:$E116,0)),"",MATCH(ß05,$E108:$E116,0))</f>
        <v/>
      </c>
      <c r="BR108" s="15">
        <f>SUM(BP108:BQ108)+BC108</f>
        <v>109</v>
      </c>
      <c r="BS108" s="36">
        <f>IF(ISERROR(MATCH(ß06,$C108:$C116,0)),"",MATCH(ß06,$C108:$C116,0))</f>
        <v>4</v>
      </c>
      <c r="BT108" s="35" t="str">
        <f>IF(ISERROR(MATCH(ß06,$E108:$E116,0)),"",MATCH(ß06,$E108:$E116,0))</f>
        <v/>
      </c>
      <c r="BU108" s="15">
        <f>SUM(BS108:BT108)+BC108</f>
        <v>111</v>
      </c>
      <c r="BV108" s="36" t="str">
        <f>IF(ISERROR(MATCH(ß07,$C108:$C116,0)),"",MATCH(ß07,$C108:$C116,0))</f>
        <v/>
      </c>
      <c r="BW108" s="35">
        <f>IF(ISERROR(MATCH(ß07,$E108:$E116,0)),"",MATCH(ß07,$E108:$E116,0))</f>
        <v>1</v>
      </c>
      <c r="BX108" s="15">
        <f>SUM(BV108:BW108)+BC108</f>
        <v>108</v>
      </c>
      <c r="BY108" s="36">
        <f>IF(ISERROR(MATCH(ß08,$C108:$C116,0)),"",MATCH(ß08,$C108:$C116,0))</f>
        <v>7</v>
      </c>
      <c r="BZ108" s="35" t="str">
        <f>IF(ISERROR(MATCH(ß08,$E108:$E116,0)),"",MATCH(ß08,$E108:$E116,0))</f>
        <v/>
      </c>
      <c r="CA108" s="15">
        <f>SUM(BY108:BZ108)+BC108</f>
        <v>114</v>
      </c>
      <c r="CB108" s="36" t="str">
        <f>IF(ISERROR(MATCH(ß09,$C108:$C116,0)),"",MATCH(ß09,$C108:$C116,0))</f>
        <v/>
      </c>
      <c r="CC108" s="35">
        <f>IF(ISERROR(MATCH(ß09,$E108:$E116,0)),"",MATCH(ß09,$E108:$E116,0))</f>
        <v>5</v>
      </c>
      <c r="CD108" s="15">
        <f>SUM(CB108:CC108)+BC108</f>
        <v>112</v>
      </c>
      <c r="CE108" s="36" t="str">
        <f>IF(ISERROR(MATCH(ß10,$C108:$C116,0)),"",MATCH(ß10,$C108:$C116,0))</f>
        <v/>
      </c>
      <c r="CF108" s="35">
        <f>IF(ISERROR(MATCH(ß10,$E108:$E116,0)),"",MATCH(ß10,$E108:$E116,0))</f>
        <v>3</v>
      </c>
      <c r="CG108" s="15">
        <f>SUM(CE108:CF108)+BC108</f>
        <v>110</v>
      </c>
      <c r="CH108" s="36">
        <f>IF(ISERROR(MATCH(ß11,$C108:$C116,0)),"",MATCH(ß11,$C108:$C116,0))</f>
        <v>6</v>
      </c>
      <c r="CI108" s="35" t="str">
        <f>IF(ISERROR(MATCH(ß11,$E108:$E116,0)),"",MATCH(ß11,$E108:$E116,0))</f>
        <v/>
      </c>
      <c r="CJ108" s="15">
        <f>SUM(CH108:CI108)+BC108</f>
        <v>113</v>
      </c>
      <c r="CK108" s="36">
        <f>IF(ISERROR(MATCH(ß12,$C108:$C116,0)),"",MATCH(ß12,$C108:$C116,0))</f>
        <v>9</v>
      </c>
      <c r="CL108" s="35" t="str">
        <f>IF(ISERROR(MATCH(ß12,$E108:$E116,0)),"",MATCH(ß12,$E108:$E116,0))</f>
        <v/>
      </c>
      <c r="CM108" s="15">
        <f>SUM(CK108:CL108)+BC108</f>
        <v>116</v>
      </c>
      <c r="CN108" s="36" t="str">
        <f>IF(ISERROR(MATCH(ß13,$C108:$C116,0)),"",MATCH(ß13,$C108:$C116,0))</f>
        <v/>
      </c>
      <c r="CO108" s="35">
        <f>IF(ISERROR(MATCH(ß13,$E108:$E116,0)),"",MATCH(ß13,$E108:$E116,0))</f>
        <v>4</v>
      </c>
      <c r="CP108" s="15">
        <f>SUM(CN108:CO108)+BC108</f>
        <v>111</v>
      </c>
      <c r="CQ108" s="36">
        <f>IF(ISERROR(MATCH(ß14,$C108:$C116,0)),"",MATCH(ß14,$C108:$C116,0))</f>
        <v>5</v>
      </c>
      <c r="CR108" s="35" t="str">
        <f>IF(ISERROR(MATCH(ß14,$E108:$E116,0)),"",MATCH(ß14,$E108:$E116,0))</f>
        <v/>
      </c>
      <c r="CS108" s="15">
        <f>SUM(CQ108:CR108)+BC108</f>
        <v>112</v>
      </c>
      <c r="CT108" s="36" t="str">
        <f>IF(ISERROR(MATCH(ß15,$C108:$C116,0)),"",MATCH(ß15,$C108:$C116,0))</f>
        <v/>
      </c>
      <c r="CU108" s="35">
        <f>IF(ISERROR(MATCH(ß15,$E108:$E116,0)),"",MATCH(ß15,$E108:$E116,0))</f>
        <v>2</v>
      </c>
      <c r="CV108" s="15">
        <f>SUM(CT108:CU108)+BC108</f>
        <v>109</v>
      </c>
      <c r="CW108" s="36">
        <f>IF(ISERROR(MATCH(ß16,$C108:$C116,0)),"",MATCH(ß16,$C108:$C116,0))</f>
        <v>3</v>
      </c>
      <c r="CX108" s="35" t="str">
        <f>IF(ISERROR(MATCH(ß16,$E108:$E116,0)),"",MATCH(ß16,$E108:$E116,0))</f>
        <v/>
      </c>
      <c r="CY108" s="15">
        <f>SUM(CW108:CX108)+BC108</f>
        <v>110</v>
      </c>
      <c r="CZ108" s="36" t="str">
        <f>IF(ISERROR(MATCH(ß17,$C108:$C116,0)),"",MATCH(ß17,$C108:$C116,0))</f>
        <v/>
      </c>
      <c r="DA108" s="35">
        <f>IF(ISERROR(MATCH(ß17,$E108:$E116,0)),"",MATCH(ß17,$E108:$E116,0))</f>
        <v>8</v>
      </c>
      <c r="DB108" s="15">
        <f>SUM(CZ108:DA108)+BC108</f>
        <v>115</v>
      </c>
      <c r="DC108" s="36" t="str">
        <f>IF(ISERROR(MATCH(ß18,$C108:$C116,0)),"",MATCH(ß18,$C108:$C116,0))</f>
        <v/>
      </c>
      <c r="DD108" s="35">
        <f>IF(ISERROR(MATCH(ß18,$E108:$E116,0)),"",MATCH(ß18,$E108:$E116,0))</f>
        <v>9</v>
      </c>
      <c r="DE108" s="15">
        <f>SUM(DC108:DD108)+BC108</f>
        <v>116</v>
      </c>
      <c r="DG108" s="8" t="str">
        <f t="shared" ref="DG108:DG116" si="110">IF(F108="","",(IF(F108=H108,0,IF(F108&gt;H108,1,IF(F108&lt;H108,2)))))</f>
        <v/>
      </c>
      <c r="DH108" s="3">
        <f>COUNTIF(I108,DG108)+COUNTIF(K108,DG108)+COUNTIF(M108,DG108)+COUNTIF(O108,DG108)+COUNTIF(Q108,DG108)+COUNTIF(S108,DG108)+COUNTIF(U108,DG108)</f>
        <v>7</v>
      </c>
      <c r="DN108" s="12">
        <f t="shared" ref="DN108:DN116" si="111">F108</f>
        <v>0</v>
      </c>
      <c r="DO108" s="5">
        <f t="shared" ref="DO108:DO116" si="112">H108</f>
        <v>0</v>
      </c>
      <c r="DP108" s="5" t="str">
        <f t="shared" ref="DP108:DP116" si="113">IF($F108="","",IF(DN108&gt;DO108,3,IF(DN108&lt;DO108,0,1)))</f>
        <v/>
      </c>
      <c r="DQ108" s="5" t="str">
        <f t="shared" ref="DQ108:DQ116" si="114">IF($H108="","",IF(DO108&gt;DN108,3,IF(DO108&lt;DN108,0,1)))</f>
        <v/>
      </c>
      <c r="DR108" s="5">
        <f t="shared" ref="DR108:DR116" si="115">IF(ISBLANK(F108),0,1)</f>
        <v>0</v>
      </c>
    </row>
    <row r="109" spans="1:122" ht="11.25" customHeight="1" x14ac:dyDescent="0.2">
      <c r="C109" s="2" t="str">
        <f>ß05</f>
        <v>Frankfurt</v>
      </c>
      <c r="D109" s="3" t="s">
        <v>11</v>
      </c>
      <c r="E109" s="2" t="str">
        <f>ß15</f>
        <v>St. Pauli</v>
      </c>
      <c r="F109" s="29"/>
      <c r="G109" s="3" t="s">
        <v>12</v>
      </c>
      <c r="H109" s="30"/>
      <c r="I109" s="37"/>
      <c r="J109" s="38" t="str">
        <f t="shared" si="103"/>
        <v/>
      </c>
      <c r="K109" s="37"/>
      <c r="L109" s="38" t="str">
        <f t="shared" si="104"/>
        <v/>
      </c>
      <c r="M109" s="37"/>
      <c r="N109" s="38" t="str">
        <f t="shared" si="105"/>
        <v/>
      </c>
      <c r="O109" s="37"/>
      <c r="P109" s="38" t="str">
        <f t="shared" si="106"/>
        <v/>
      </c>
      <c r="Q109" s="37"/>
      <c r="R109" s="38" t="str">
        <f t="shared" si="107"/>
        <v/>
      </c>
      <c r="S109" s="37"/>
      <c r="T109" s="38" t="str">
        <f t="shared" si="108"/>
        <v/>
      </c>
      <c r="U109" s="37"/>
      <c r="V109" s="38" t="str">
        <f t="shared" si="109"/>
        <v/>
      </c>
      <c r="AF109" s="34"/>
      <c r="AG109" s="34"/>
      <c r="AH109" s="34"/>
      <c r="AI109" s="34"/>
      <c r="AJ109" s="34"/>
      <c r="DG109" s="8" t="str">
        <f t="shared" si="110"/>
        <v/>
      </c>
      <c r="DH109" s="3">
        <f t="shared" ref="DH109:DH116" si="116">COUNTIF(I109,DG109)+COUNTIF(K109,DG109)+COUNTIF(M109,DG109)+COUNTIF(O109,DG109)+COUNTIF(Q109,DG109)+COUNTIF(S109,DG109)+COUNTIF(U109,DG109)</f>
        <v>7</v>
      </c>
      <c r="DN109" s="12">
        <f t="shared" si="111"/>
        <v>0</v>
      </c>
      <c r="DO109" s="5">
        <f t="shared" si="112"/>
        <v>0</v>
      </c>
      <c r="DP109" s="5" t="str">
        <f t="shared" si="113"/>
        <v/>
      </c>
      <c r="DQ109" s="5" t="str">
        <f t="shared" si="114"/>
        <v/>
      </c>
      <c r="DR109" s="5">
        <f t="shared" si="115"/>
        <v>0</v>
      </c>
    </row>
    <row r="110" spans="1:122" ht="11.25" customHeight="1" x14ac:dyDescent="0.2">
      <c r="C110" s="2" t="str">
        <f>ß16</f>
        <v>Dortmund</v>
      </c>
      <c r="D110" s="3" t="s">
        <v>11</v>
      </c>
      <c r="E110" s="2" t="str">
        <f>ß10</f>
        <v>Köln</v>
      </c>
      <c r="F110" s="29"/>
      <c r="G110" s="3" t="s">
        <v>12</v>
      </c>
      <c r="H110" s="30"/>
      <c r="I110" s="37"/>
      <c r="J110" s="38" t="str">
        <f t="shared" si="103"/>
        <v/>
      </c>
      <c r="K110" s="37"/>
      <c r="L110" s="38" t="str">
        <f t="shared" si="104"/>
        <v/>
      </c>
      <c r="M110" s="37"/>
      <c r="N110" s="38" t="str">
        <f t="shared" si="105"/>
        <v/>
      </c>
      <c r="O110" s="37"/>
      <c r="P110" s="38" t="str">
        <f t="shared" si="106"/>
        <v/>
      </c>
      <c r="Q110" s="37"/>
      <c r="R110" s="38" t="str">
        <f t="shared" si="107"/>
        <v/>
      </c>
      <c r="S110" s="37"/>
      <c r="T110" s="38" t="str">
        <f t="shared" si="108"/>
        <v/>
      </c>
      <c r="U110" s="37"/>
      <c r="V110" s="38" t="str">
        <f t="shared" si="109"/>
        <v/>
      </c>
      <c r="AF110" s="34"/>
      <c r="AG110" s="34"/>
      <c r="AH110" s="34"/>
      <c r="AI110" s="34"/>
      <c r="AJ110" s="34"/>
      <c r="DG110" s="8" t="str">
        <f t="shared" si="110"/>
        <v/>
      </c>
      <c r="DH110" s="3">
        <f t="shared" si="116"/>
        <v>7</v>
      </c>
      <c r="DN110" s="12">
        <f t="shared" si="111"/>
        <v>0</v>
      </c>
      <c r="DO110" s="5">
        <f t="shared" si="112"/>
        <v>0</v>
      </c>
      <c r="DP110" s="5" t="str">
        <f t="shared" si="113"/>
        <v/>
      </c>
      <c r="DQ110" s="5" t="str">
        <f t="shared" si="114"/>
        <v/>
      </c>
      <c r="DR110" s="5">
        <f t="shared" si="115"/>
        <v>0</v>
      </c>
    </row>
    <row r="111" spans="1:122" ht="11.25" customHeight="1" x14ac:dyDescent="0.2">
      <c r="C111" s="2" t="str">
        <f>ß06</f>
        <v>Werder</v>
      </c>
      <c r="D111" s="3" t="s">
        <v>11</v>
      </c>
      <c r="E111" s="2" t="str">
        <f>ß13</f>
        <v>Union</v>
      </c>
      <c r="F111" s="29"/>
      <c r="G111" s="3" t="s">
        <v>12</v>
      </c>
      <c r="H111" s="30"/>
      <c r="I111" s="37"/>
      <c r="J111" s="38" t="str">
        <f t="shared" si="103"/>
        <v/>
      </c>
      <c r="K111" s="37"/>
      <c r="L111" s="38" t="str">
        <f t="shared" si="104"/>
        <v/>
      </c>
      <c r="M111" s="37"/>
      <c r="N111" s="38" t="str">
        <f t="shared" si="105"/>
        <v/>
      </c>
      <c r="O111" s="37"/>
      <c r="P111" s="38" t="str">
        <f t="shared" si="106"/>
        <v/>
      </c>
      <c r="Q111" s="37"/>
      <c r="R111" s="38" t="str">
        <f t="shared" si="107"/>
        <v/>
      </c>
      <c r="S111" s="37"/>
      <c r="T111" s="38" t="str">
        <f t="shared" si="108"/>
        <v/>
      </c>
      <c r="U111" s="37"/>
      <c r="V111" s="38" t="str">
        <f t="shared" si="109"/>
        <v/>
      </c>
      <c r="AF111" s="34"/>
      <c r="AG111" s="34"/>
      <c r="AH111" s="34"/>
      <c r="AI111" s="34"/>
      <c r="AJ111" s="34"/>
      <c r="DG111" s="8" t="str">
        <f t="shared" si="110"/>
        <v/>
      </c>
      <c r="DH111" s="3">
        <f t="shared" si="116"/>
        <v>7</v>
      </c>
      <c r="DN111" s="12">
        <f t="shared" si="111"/>
        <v>0</v>
      </c>
      <c r="DO111" s="5">
        <f t="shared" si="112"/>
        <v>0</v>
      </c>
      <c r="DP111" s="5" t="str">
        <f t="shared" si="113"/>
        <v/>
      </c>
      <c r="DQ111" s="5" t="str">
        <f t="shared" si="114"/>
        <v/>
      </c>
      <c r="DR111" s="5">
        <f t="shared" si="115"/>
        <v>0</v>
      </c>
    </row>
    <row r="112" spans="1:122" ht="11.25" customHeight="1" x14ac:dyDescent="0.2">
      <c r="C112" s="2" t="str">
        <f>ß14</f>
        <v>Stuttgart</v>
      </c>
      <c r="D112" s="3" t="s">
        <v>11</v>
      </c>
      <c r="E112" s="2" t="str">
        <f>ß09</f>
        <v>Mainz</v>
      </c>
      <c r="F112" s="29"/>
      <c r="G112" s="3" t="s">
        <v>12</v>
      </c>
      <c r="H112" s="30"/>
      <c r="I112" s="37"/>
      <c r="J112" s="38" t="str">
        <f t="shared" si="103"/>
        <v/>
      </c>
      <c r="K112" s="37"/>
      <c r="L112" s="38" t="str">
        <f t="shared" si="104"/>
        <v/>
      </c>
      <c r="M112" s="37"/>
      <c r="N112" s="38" t="str">
        <f t="shared" si="105"/>
        <v/>
      </c>
      <c r="O112" s="37"/>
      <c r="P112" s="38" t="str">
        <f t="shared" si="106"/>
        <v/>
      </c>
      <c r="Q112" s="37"/>
      <c r="R112" s="38" t="str">
        <f t="shared" si="107"/>
        <v/>
      </c>
      <c r="S112" s="37"/>
      <c r="T112" s="38" t="str">
        <f t="shared" si="108"/>
        <v/>
      </c>
      <c r="U112" s="37"/>
      <c r="V112" s="38" t="str">
        <f t="shared" si="109"/>
        <v/>
      </c>
      <c r="AF112" s="34"/>
      <c r="AG112" s="34"/>
      <c r="AH112" s="34"/>
      <c r="AI112" s="34"/>
      <c r="AJ112" s="34"/>
      <c r="DG112" s="8" t="str">
        <f t="shared" si="110"/>
        <v/>
      </c>
      <c r="DH112" s="3">
        <f t="shared" si="116"/>
        <v>7</v>
      </c>
      <c r="DN112" s="12">
        <f t="shared" si="111"/>
        <v>0</v>
      </c>
      <c r="DO112" s="5">
        <f t="shared" si="112"/>
        <v>0</v>
      </c>
      <c r="DP112" s="5" t="str">
        <f t="shared" si="113"/>
        <v/>
      </c>
      <c r="DQ112" s="5" t="str">
        <f t="shared" si="114"/>
        <v/>
      </c>
      <c r="DR112" s="5">
        <f t="shared" si="115"/>
        <v>0</v>
      </c>
    </row>
    <row r="113" spans="3:122" ht="11.25" customHeight="1" x14ac:dyDescent="0.2">
      <c r="C113" s="2" t="str">
        <f>ß11</f>
        <v>M'gladb.</v>
      </c>
      <c r="D113" s="3" t="s">
        <v>11</v>
      </c>
      <c r="E113" s="2" t="str">
        <f>ß01</f>
        <v>Bayern</v>
      </c>
      <c r="F113" s="29"/>
      <c r="G113" s="3" t="s">
        <v>12</v>
      </c>
      <c r="H113" s="30"/>
      <c r="I113" s="37"/>
      <c r="J113" s="38" t="str">
        <f t="shared" si="103"/>
        <v/>
      </c>
      <c r="K113" s="37"/>
      <c r="L113" s="38" t="str">
        <f t="shared" si="104"/>
        <v/>
      </c>
      <c r="M113" s="37"/>
      <c r="N113" s="38" t="str">
        <f t="shared" si="105"/>
        <v/>
      </c>
      <c r="O113" s="37"/>
      <c r="P113" s="38" t="str">
        <f t="shared" si="106"/>
        <v/>
      </c>
      <c r="Q113" s="37"/>
      <c r="R113" s="38" t="str">
        <f t="shared" si="107"/>
        <v/>
      </c>
      <c r="S113" s="37"/>
      <c r="T113" s="38" t="str">
        <f t="shared" si="108"/>
        <v/>
      </c>
      <c r="U113" s="37"/>
      <c r="V113" s="38" t="str">
        <f t="shared" si="109"/>
        <v/>
      </c>
      <c r="AF113" s="34"/>
      <c r="AG113" s="34"/>
      <c r="AH113" s="34"/>
      <c r="AI113" s="34"/>
      <c r="AJ113" s="34"/>
      <c r="DG113" s="8" t="str">
        <f t="shared" si="110"/>
        <v/>
      </c>
      <c r="DH113" s="3">
        <f t="shared" si="116"/>
        <v>7</v>
      </c>
      <c r="DN113" s="12">
        <f t="shared" si="111"/>
        <v>0</v>
      </c>
      <c r="DO113" s="5">
        <f t="shared" si="112"/>
        <v>0</v>
      </c>
      <c r="DP113" s="5" t="str">
        <f t="shared" si="113"/>
        <v/>
      </c>
      <c r="DQ113" s="5" t="str">
        <f t="shared" si="114"/>
        <v/>
      </c>
      <c r="DR113" s="5">
        <f t="shared" si="115"/>
        <v>0</v>
      </c>
    </row>
    <row r="114" spans="3:122" ht="11.25" customHeight="1" x14ac:dyDescent="0.2">
      <c r="C114" s="2" t="str">
        <f>ß08</f>
        <v>Augsburg</v>
      </c>
      <c r="D114" s="3" t="s">
        <v>11</v>
      </c>
      <c r="E114" s="2" t="str">
        <f>ß02</f>
        <v>Leipzig</v>
      </c>
      <c r="F114" s="29"/>
      <c r="G114" s="3" t="s">
        <v>12</v>
      </c>
      <c r="H114" s="30"/>
      <c r="I114" s="37"/>
      <c r="J114" s="38" t="str">
        <f t="shared" si="103"/>
        <v/>
      </c>
      <c r="K114" s="37"/>
      <c r="L114" s="38" t="str">
        <f t="shared" si="104"/>
        <v/>
      </c>
      <c r="M114" s="37"/>
      <c r="N114" s="38" t="str">
        <f t="shared" si="105"/>
        <v/>
      </c>
      <c r="O114" s="37"/>
      <c r="P114" s="38" t="str">
        <f t="shared" si="106"/>
        <v/>
      </c>
      <c r="Q114" s="37"/>
      <c r="R114" s="38" t="str">
        <f t="shared" si="107"/>
        <v/>
      </c>
      <c r="S114" s="37"/>
      <c r="T114" s="38" t="str">
        <f t="shared" si="108"/>
        <v/>
      </c>
      <c r="U114" s="37"/>
      <c r="V114" s="38" t="str">
        <f t="shared" si="109"/>
        <v/>
      </c>
      <c r="AF114" s="34"/>
      <c r="AG114" s="34"/>
      <c r="AH114" s="34"/>
      <c r="AI114" s="34"/>
      <c r="AJ114" s="34"/>
      <c r="DG114" s="8" t="str">
        <f t="shared" si="110"/>
        <v/>
      </c>
      <c r="DH114" s="3">
        <f t="shared" si="116"/>
        <v>7</v>
      </c>
      <c r="DN114" s="12">
        <f t="shared" si="111"/>
        <v>0</v>
      </c>
      <c r="DO114" s="5">
        <f t="shared" si="112"/>
        <v>0</v>
      </c>
      <c r="DP114" s="5" t="str">
        <f t="shared" si="113"/>
        <v/>
      </c>
      <c r="DQ114" s="5" t="str">
        <f t="shared" si="114"/>
        <v/>
      </c>
      <c r="DR114" s="5">
        <f t="shared" si="115"/>
        <v>0</v>
      </c>
    </row>
    <row r="115" spans="3:122" ht="11.25" customHeight="1" x14ac:dyDescent="0.2">
      <c r="C115" s="2" t="str">
        <f>ß04</f>
        <v>Hoffenheim</v>
      </c>
      <c r="D115" s="3" t="s">
        <v>11</v>
      </c>
      <c r="E115" s="2" t="str">
        <f>ß17</f>
        <v>Heidenheim</v>
      </c>
      <c r="F115" s="29"/>
      <c r="G115" s="3" t="s">
        <v>12</v>
      </c>
      <c r="H115" s="30"/>
      <c r="I115" s="37"/>
      <c r="J115" s="38" t="str">
        <f t="shared" si="103"/>
        <v/>
      </c>
      <c r="K115" s="37"/>
      <c r="L115" s="38" t="str">
        <f t="shared" si="104"/>
        <v/>
      </c>
      <c r="M115" s="37"/>
      <c r="N115" s="38" t="str">
        <f t="shared" si="105"/>
        <v/>
      </c>
      <c r="O115" s="37"/>
      <c r="P115" s="38" t="str">
        <f t="shared" si="106"/>
        <v/>
      </c>
      <c r="Q115" s="37"/>
      <c r="R115" s="38" t="str">
        <f t="shared" si="107"/>
        <v/>
      </c>
      <c r="S115" s="37"/>
      <c r="T115" s="38" t="str">
        <f t="shared" si="108"/>
        <v/>
      </c>
      <c r="U115" s="37"/>
      <c r="V115" s="38" t="str">
        <f t="shared" si="109"/>
        <v/>
      </c>
      <c r="AF115" s="34"/>
      <c r="AG115" s="34"/>
      <c r="AH115" s="34"/>
      <c r="AI115" s="34"/>
      <c r="AJ115" s="34"/>
      <c r="DG115" s="8" t="str">
        <f t="shared" si="110"/>
        <v/>
      </c>
      <c r="DH115" s="3">
        <f t="shared" si="116"/>
        <v>7</v>
      </c>
      <c r="DN115" s="12">
        <f t="shared" si="111"/>
        <v>0</v>
      </c>
      <c r="DO115" s="5">
        <f t="shared" si="112"/>
        <v>0</v>
      </c>
      <c r="DP115" s="5" t="str">
        <f t="shared" si="113"/>
        <v/>
      </c>
      <c r="DQ115" s="5" t="str">
        <f t="shared" si="114"/>
        <v/>
      </c>
      <c r="DR115" s="5">
        <f t="shared" si="115"/>
        <v>0</v>
      </c>
    </row>
    <row r="116" spans="3:122" ht="11.25" customHeight="1" thickBot="1" x14ac:dyDescent="0.25">
      <c r="C116" s="2" t="str">
        <f>ß12</f>
        <v>HSV</v>
      </c>
      <c r="D116" s="3" t="s">
        <v>11</v>
      </c>
      <c r="E116" s="2" t="str">
        <f>ß18</f>
        <v>Wolfsburg</v>
      </c>
      <c r="F116" s="29"/>
      <c r="G116" s="3" t="s">
        <v>12</v>
      </c>
      <c r="H116" s="30"/>
      <c r="I116" s="37"/>
      <c r="J116" s="38" t="str">
        <f t="shared" si="103"/>
        <v/>
      </c>
      <c r="K116" s="37"/>
      <c r="L116" s="38" t="str">
        <f t="shared" si="104"/>
        <v/>
      </c>
      <c r="M116" s="37"/>
      <c r="N116" s="38" t="str">
        <f t="shared" si="105"/>
        <v/>
      </c>
      <c r="O116" s="37"/>
      <c r="P116" s="38" t="str">
        <f t="shared" si="106"/>
        <v/>
      </c>
      <c r="Q116" s="37"/>
      <c r="R116" s="38" t="str">
        <f t="shared" si="107"/>
        <v/>
      </c>
      <c r="S116" s="37"/>
      <c r="T116" s="38" t="str">
        <f t="shared" si="108"/>
        <v/>
      </c>
      <c r="U116" s="37"/>
      <c r="V116" s="38" t="str">
        <f t="shared" si="109"/>
        <v/>
      </c>
      <c r="AF116" s="34"/>
      <c r="AG116" s="34"/>
      <c r="AH116" s="34"/>
      <c r="AI116" s="34"/>
      <c r="AJ116" s="34"/>
      <c r="DG116" s="8" t="str">
        <f t="shared" si="110"/>
        <v/>
      </c>
      <c r="DH116" s="3">
        <f t="shared" si="116"/>
        <v>7</v>
      </c>
      <c r="DN116" s="12">
        <f t="shared" si="111"/>
        <v>0</v>
      </c>
      <c r="DO116" s="5">
        <f t="shared" si="112"/>
        <v>0</v>
      </c>
      <c r="DP116" s="5" t="str">
        <f t="shared" si="113"/>
        <v/>
      </c>
      <c r="DQ116" s="5" t="str">
        <f t="shared" si="114"/>
        <v/>
      </c>
      <c r="DR116" s="5">
        <f t="shared" si="115"/>
        <v>0</v>
      </c>
    </row>
    <row r="117" spans="3:122" ht="11.25" customHeight="1" thickTop="1" x14ac:dyDescent="0.2">
      <c r="C117" s="41">
        <f>(I117+K117+M117+O117+Q117+S117+U117)</f>
        <v>0</v>
      </c>
      <c r="E117" s="42">
        <f>C117/8</f>
        <v>0</v>
      </c>
      <c r="F117" s="41">
        <f>SUM(F108:F116)</f>
        <v>0</v>
      </c>
      <c r="G117" s="2"/>
      <c r="H117" s="43">
        <f>SUM(H108:H116)</f>
        <v>0</v>
      </c>
      <c r="I117" s="44">
        <f>COUNTIF(J108:J116,"&gt;0")</f>
        <v>0</v>
      </c>
      <c r="J117" s="45">
        <f>I117+J102</f>
        <v>0</v>
      </c>
      <c r="K117" s="44">
        <f>COUNTIF(L108:L116,"&gt;0")</f>
        <v>0</v>
      </c>
      <c r="L117" s="45">
        <f>K117+L102</f>
        <v>0</v>
      </c>
      <c r="M117" s="44">
        <f>COUNTIF(N108:N116,"&gt;0")</f>
        <v>0</v>
      </c>
      <c r="N117" s="45">
        <f>M117+N102</f>
        <v>0</v>
      </c>
      <c r="O117" s="44">
        <f>COUNTIF(P108:P116,"&gt;0")</f>
        <v>0</v>
      </c>
      <c r="P117" s="45">
        <f>O117+P102</f>
        <v>0</v>
      </c>
      <c r="Q117" s="44">
        <f>COUNTIF(R108:R116,"&gt;0")</f>
        <v>0</v>
      </c>
      <c r="R117" s="45">
        <f>Q117+R102</f>
        <v>0</v>
      </c>
      <c r="S117" s="44">
        <f>COUNTIF(T108:T116,"&gt;0")</f>
        <v>0</v>
      </c>
      <c r="T117" s="45">
        <f>S117+T102</f>
        <v>0</v>
      </c>
      <c r="U117" s="44">
        <f>COUNTIF(V108:V116,"&gt;0")</f>
        <v>0</v>
      </c>
      <c r="V117" s="45">
        <f>U117+V102</f>
        <v>0</v>
      </c>
      <c r="AF117" s="34"/>
      <c r="AG117" s="34"/>
      <c r="AH117" s="34"/>
      <c r="AI117" s="34"/>
      <c r="AJ117" s="34"/>
      <c r="DN117" s="12"/>
    </row>
    <row r="118" spans="3:122" ht="11.25" customHeight="1" x14ac:dyDescent="0.2">
      <c r="C118" s="41">
        <f>(I118+K118+M118+O118+Q118+S118+U118)</f>
        <v>0</v>
      </c>
      <c r="E118" s="42">
        <f>C118/8</f>
        <v>0</v>
      </c>
      <c r="F118" s="137">
        <f>F117+H117</f>
        <v>0</v>
      </c>
      <c r="G118" s="137"/>
      <c r="H118" s="137"/>
      <c r="I118" s="46">
        <f>SUM(J108:J116)</f>
        <v>0</v>
      </c>
      <c r="J118" s="47">
        <f>I118+J103</f>
        <v>0</v>
      </c>
      <c r="K118" s="46">
        <f>SUM(L108:L116)</f>
        <v>0</v>
      </c>
      <c r="L118" s="47">
        <f>K118+L103</f>
        <v>0</v>
      </c>
      <c r="M118" s="46">
        <f>SUM(N108:N116)</f>
        <v>0</v>
      </c>
      <c r="N118" s="47">
        <f>M118+N103</f>
        <v>0</v>
      </c>
      <c r="O118" s="46">
        <f>SUM(P108:P116)</f>
        <v>0</v>
      </c>
      <c r="P118" s="47">
        <f>O118+P103</f>
        <v>0</v>
      </c>
      <c r="Q118" s="46">
        <f>SUM(R108:R116)</f>
        <v>0</v>
      </c>
      <c r="R118" s="47">
        <f>Q118+R103</f>
        <v>0</v>
      </c>
      <c r="S118" s="46">
        <f>SUM(T108:T116)</f>
        <v>0</v>
      </c>
      <c r="T118" s="47">
        <f>S118+T103</f>
        <v>0</v>
      </c>
      <c r="U118" s="46">
        <f>SUM(V108:V116)</f>
        <v>0</v>
      </c>
      <c r="V118" s="47">
        <f>U118+V103</f>
        <v>0</v>
      </c>
      <c r="AF118" s="34"/>
      <c r="AG118" s="34"/>
      <c r="AH118" s="34"/>
      <c r="AI118" s="34"/>
      <c r="AJ118" s="34"/>
      <c r="DN118" s="12"/>
    </row>
    <row r="119" spans="3:122" ht="11.25" customHeight="1" thickBot="1" x14ac:dyDescent="0.25">
      <c r="C119" s="41">
        <f>(I119+K119+M119+O119+Q119+S119+U119)</f>
        <v>0</v>
      </c>
      <c r="E119" s="42">
        <f>C119/8</f>
        <v>0</v>
      </c>
      <c r="F119" s="138">
        <f>F118+F104</f>
        <v>0</v>
      </c>
      <c r="G119" s="138"/>
      <c r="H119" s="138"/>
      <c r="I119" s="48">
        <f>I117*I118</f>
        <v>0</v>
      </c>
      <c r="J119" s="49">
        <f>I119+J104</f>
        <v>0</v>
      </c>
      <c r="K119" s="48">
        <f>K117*K118</f>
        <v>0</v>
      </c>
      <c r="L119" s="49">
        <f>K119+L104</f>
        <v>0</v>
      </c>
      <c r="M119" s="48">
        <f>M117*M118</f>
        <v>0</v>
      </c>
      <c r="N119" s="49">
        <f>M119+N104</f>
        <v>0</v>
      </c>
      <c r="O119" s="48">
        <f>O117*O118</f>
        <v>0</v>
      </c>
      <c r="P119" s="49">
        <f>O119+P104</f>
        <v>0</v>
      </c>
      <c r="Q119" s="48">
        <f>Q117*Q118</f>
        <v>0</v>
      </c>
      <c r="R119" s="49">
        <f>Q119+R104</f>
        <v>0</v>
      </c>
      <c r="S119" s="48">
        <f>S117*S118</f>
        <v>0</v>
      </c>
      <c r="T119" s="49">
        <f>S119+T104</f>
        <v>0</v>
      </c>
      <c r="U119" s="48">
        <f>U117*U118</f>
        <v>0</v>
      </c>
      <c r="V119" s="49">
        <f>U119+V104</f>
        <v>0</v>
      </c>
      <c r="AF119" s="34"/>
      <c r="AG119" s="34"/>
      <c r="AH119" s="34"/>
      <c r="AI119" s="34"/>
      <c r="AJ119" s="34"/>
      <c r="AL119" s="5">
        <f>MAX(I119,K119,M119,O119,Q119,S119,U119)</f>
        <v>0</v>
      </c>
      <c r="AM119" s="5">
        <f>MIN(I119,K119,M119,O119,Q119,S119,U119)</f>
        <v>0</v>
      </c>
      <c r="AN119" s="5"/>
      <c r="AO119" s="5"/>
      <c r="AP119" s="5"/>
      <c r="AQ119" s="5"/>
      <c r="AR119" s="5"/>
      <c r="AS119" s="13"/>
      <c r="AT119" s="5"/>
      <c r="AU119" s="5"/>
      <c r="AV119" s="5"/>
      <c r="AW119" s="5"/>
      <c r="AX119" s="5"/>
      <c r="AY119" s="5"/>
      <c r="AZ119" s="5"/>
      <c r="BA119" s="5"/>
      <c r="BB119" s="5"/>
      <c r="BD119" s="5"/>
      <c r="BE119" s="5"/>
      <c r="BF119" s="14"/>
      <c r="BG119" s="13"/>
      <c r="BH119" s="5"/>
      <c r="BI119" s="14"/>
      <c r="BJ119" s="13"/>
      <c r="BK119" s="5"/>
      <c r="BL119" s="14"/>
      <c r="BM119" s="13"/>
      <c r="BN119" s="5"/>
      <c r="BO119" s="14"/>
      <c r="BP119" s="13"/>
      <c r="BQ119" s="5"/>
      <c r="BR119" s="14"/>
      <c r="BS119" s="13"/>
      <c r="BT119" s="5"/>
      <c r="BU119" s="14"/>
      <c r="BV119" s="13"/>
      <c r="BW119" s="5"/>
      <c r="BX119" s="14"/>
      <c r="BY119" s="13"/>
      <c r="BZ119" s="5"/>
      <c r="CA119" s="14"/>
      <c r="CB119" s="13"/>
      <c r="CC119" s="5"/>
      <c r="CD119" s="14"/>
      <c r="CE119" s="13"/>
      <c r="CF119" s="5"/>
      <c r="CG119" s="14"/>
      <c r="CH119" s="13"/>
      <c r="CI119" s="5"/>
      <c r="CJ119" s="14"/>
      <c r="CK119" s="13"/>
      <c r="CL119" s="5"/>
      <c r="CM119" s="14"/>
      <c r="CN119" s="13"/>
      <c r="CO119" s="5"/>
      <c r="CP119" s="14"/>
      <c r="CQ119" s="13"/>
      <c r="CR119" s="5"/>
      <c r="CS119" s="14"/>
      <c r="CT119" s="13"/>
      <c r="CU119" s="5"/>
      <c r="CV119" s="14"/>
      <c r="CW119" s="13"/>
      <c r="CX119" s="5"/>
      <c r="CY119" s="14"/>
      <c r="CZ119" s="13"/>
      <c r="DA119" s="5"/>
      <c r="DB119" s="14"/>
      <c r="DC119" s="13"/>
      <c r="DD119" s="5"/>
      <c r="DE119" s="14"/>
      <c r="DF119" s="5"/>
      <c r="DG119" s="5"/>
      <c r="DH119" s="5"/>
      <c r="DN119" s="12"/>
    </row>
    <row r="120" spans="3:122" ht="11.25" customHeight="1" thickTop="1" x14ac:dyDescent="0.2">
      <c r="I120" s="50"/>
      <c r="J120" s="50">
        <f>L119-J119</f>
        <v>0</v>
      </c>
      <c r="K120" s="50"/>
      <c r="L120" s="50"/>
      <c r="M120" s="50"/>
      <c r="N120" s="50">
        <f>L119-N119</f>
        <v>0</v>
      </c>
      <c r="O120" s="50"/>
      <c r="P120" s="50">
        <f>L119-P119</f>
        <v>0</v>
      </c>
      <c r="Q120" s="50"/>
      <c r="R120" s="50">
        <f>L119-R119</f>
        <v>0</v>
      </c>
      <c r="S120" s="50"/>
      <c r="T120" s="50">
        <f>L119-T119</f>
        <v>0</v>
      </c>
      <c r="U120" s="50"/>
      <c r="V120" s="50">
        <f>L119-V119</f>
        <v>0</v>
      </c>
    </row>
    <row r="121" spans="3:122" ht="11.25" customHeight="1" x14ac:dyDescent="0.2">
      <c r="I121" s="139" t="str">
        <f>ß101</f>
        <v>Kropp</v>
      </c>
      <c r="J121" s="139"/>
      <c r="K121" s="139" t="str">
        <f>ß102</f>
        <v>Nörnberg</v>
      </c>
      <c r="L121" s="139"/>
      <c r="M121" s="139" t="str">
        <f>ß103</f>
        <v>Bübel</v>
      </c>
      <c r="N121" s="139"/>
      <c r="O121" s="139" t="str">
        <f>ß104</f>
        <v>Schwicht.</v>
      </c>
      <c r="P121" s="139"/>
      <c r="Q121" s="139" t="str">
        <f>ß105</f>
        <v>Rontzko.</v>
      </c>
      <c r="R121" s="139"/>
      <c r="S121" s="139" t="str">
        <f>ß106</f>
        <v>Hauschildt</v>
      </c>
      <c r="T121" s="139"/>
      <c r="U121" s="139" t="str">
        <f>ß107</f>
        <v>Zerres</v>
      </c>
      <c r="V121" s="139"/>
      <c r="AF121" s="11"/>
      <c r="AG121" s="11"/>
      <c r="AH121" s="11"/>
      <c r="AI121" s="11"/>
      <c r="AJ121" s="11"/>
      <c r="AL121" s="5" t="str">
        <f>IF($I134=$AL134,I121,"x")</f>
        <v>Kropp</v>
      </c>
      <c r="AM121" s="5" t="str">
        <f>IF($K134=$AL134,K121,"x")</f>
        <v>Nörnberg</v>
      </c>
      <c r="AN121" s="5" t="str">
        <f>IF($M134=$AL134,M121,"x")</f>
        <v>Bübel</v>
      </c>
      <c r="AO121" s="5" t="str">
        <f>IF($O134=$AL134,O121,"x")</f>
        <v>Schwicht.</v>
      </c>
      <c r="AP121" s="5" t="str">
        <f>IF($Q134=$AL134,Q121,"x")</f>
        <v>Rontzko.</v>
      </c>
      <c r="AQ121" s="5" t="str">
        <f>IF($S134=$AL134,S121,"x")</f>
        <v>Hauschildt</v>
      </c>
      <c r="AR121" s="5" t="str">
        <f>IF($U134=$AL134,U121,"x")</f>
        <v>Zerres</v>
      </c>
      <c r="AS121" s="13" t="str">
        <f>IF($I134=$AM134,I121,"x")</f>
        <v>Kropp</v>
      </c>
      <c r="AT121" s="5" t="str">
        <f>IF($K134=$AM134,K121,"x")</f>
        <v>Nörnberg</v>
      </c>
      <c r="AU121" s="5" t="str">
        <f>IF($M134=$AM134,M121,"x")</f>
        <v>Bübel</v>
      </c>
      <c r="AV121" s="5" t="str">
        <f>IF($O134=$AM134,O121,"x")</f>
        <v>Schwicht.</v>
      </c>
      <c r="AW121" s="5" t="str">
        <f>IF($Q134=$AM134,Q121,"x")</f>
        <v>Rontzko.</v>
      </c>
      <c r="AX121" s="5" t="str">
        <f>IF($S134=$AM134,S121,"x")</f>
        <v>Hauschildt</v>
      </c>
      <c r="AY121" s="5" t="str">
        <f>IF($U134=$AM134,U121,"x")</f>
        <v>Zerres</v>
      </c>
      <c r="BD121" s="140" t="str">
        <f>ß01</f>
        <v>Bayern</v>
      </c>
      <c r="BE121" s="140"/>
      <c r="BF121" s="140"/>
      <c r="BG121" s="141" t="str">
        <f>ß02</f>
        <v>Leipzig</v>
      </c>
      <c r="BH121" s="141"/>
      <c r="BI121" s="141"/>
      <c r="BJ121" s="141" t="str">
        <f>ß03</f>
        <v>Leverk.</v>
      </c>
      <c r="BK121" s="141"/>
      <c r="BL121" s="141"/>
      <c r="BM121" s="141" t="str">
        <f>ß04</f>
        <v>Hoffenheim</v>
      </c>
      <c r="BN121" s="141"/>
      <c r="BO121" s="141"/>
      <c r="BP121" s="141" t="str">
        <f>ß05</f>
        <v>Frankfurt</v>
      </c>
      <c r="BQ121" s="141"/>
      <c r="BR121" s="141"/>
      <c r="BS121" s="141" t="str">
        <f>ß06</f>
        <v>Werder</v>
      </c>
      <c r="BT121" s="141"/>
      <c r="BU121" s="141"/>
      <c r="BV121" s="141" t="str">
        <f>ß07</f>
        <v>Freiburg</v>
      </c>
      <c r="BW121" s="141"/>
      <c r="BX121" s="141"/>
      <c r="BY121" s="141" t="str">
        <f>ß08</f>
        <v>Augsburg</v>
      </c>
      <c r="BZ121" s="141"/>
      <c r="CA121" s="141"/>
      <c r="CB121" s="141" t="str">
        <f>ß09</f>
        <v>Mainz</v>
      </c>
      <c r="CC121" s="141"/>
      <c r="CD121" s="141"/>
      <c r="CE121" s="141" t="str">
        <f>ß10</f>
        <v>Köln</v>
      </c>
      <c r="CF121" s="141"/>
      <c r="CG121" s="141"/>
      <c r="CH121" s="141" t="str">
        <f>ß11</f>
        <v>M'gladb.</v>
      </c>
      <c r="CI121" s="141"/>
      <c r="CJ121" s="141"/>
      <c r="CK121" s="141" t="str">
        <f>ß12</f>
        <v>HSV</v>
      </c>
      <c r="CL121" s="141"/>
      <c r="CM121" s="141"/>
      <c r="CN121" s="141" t="str">
        <f>ß13</f>
        <v>Union</v>
      </c>
      <c r="CO121" s="141"/>
      <c r="CP121" s="141"/>
      <c r="CQ121" s="141" t="str">
        <f>ß14</f>
        <v>Stuttgart</v>
      </c>
      <c r="CR121" s="141"/>
      <c r="CS121" s="141"/>
      <c r="CT121" s="141" t="str">
        <f>ß15</f>
        <v>St. Pauli</v>
      </c>
      <c r="CU121" s="141"/>
      <c r="CV121" s="141"/>
      <c r="CW121" s="141" t="str">
        <f>ß16</f>
        <v>Dortmund</v>
      </c>
      <c r="CX121" s="141"/>
      <c r="CY121" s="141"/>
      <c r="CZ121" s="141" t="str">
        <f>ß17</f>
        <v>Heidenheim</v>
      </c>
      <c r="DA121" s="141"/>
      <c r="DB121" s="141"/>
      <c r="DC121" s="141" t="str">
        <f>ß18</f>
        <v>Wolfsburg</v>
      </c>
      <c r="DD121" s="141"/>
      <c r="DE121" s="141"/>
    </row>
    <row r="122" spans="3:122" ht="11.25" customHeight="1" x14ac:dyDescent="0.2">
      <c r="C122" s="16" t="str">
        <f>Mannschaften!F9</f>
        <v>9. Spieltag</v>
      </c>
      <c r="D122" s="11"/>
      <c r="E122" s="17" t="str">
        <f>Mannschaften!G9</f>
        <v>31.10.-2.11.25</v>
      </c>
      <c r="I122" s="19">
        <f>RANK(Rang!A9,Rang!A9:G9)</f>
        <v>1</v>
      </c>
      <c r="J122" s="20">
        <f>RANK(Rang!H9,Rang!H9:N9)</f>
        <v>1</v>
      </c>
      <c r="K122" s="19">
        <f>RANK(Rang!B9,Rang!A9:G9)</f>
        <v>1</v>
      </c>
      <c r="L122" s="20">
        <f>RANK(Rang!I9,Rang!H9:N9)</f>
        <v>1</v>
      </c>
      <c r="M122" s="19">
        <f>RANK(Rang!C9,Rang!A9:G9)</f>
        <v>1</v>
      </c>
      <c r="N122" s="20">
        <f>RANK(Rang!J9,Rang!H9:N9)</f>
        <v>1</v>
      </c>
      <c r="O122" s="19">
        <f>RANK(Rang!D9,Rang!A9:G9)</f>
        <v>1</v>
      </c>
      <c r="P122" s="20">
        <f>RANK(Rang!K9,Rang!H9:N9)</f>
        <v>1</v>
      </c>
      <c r="Q122" s="19">
        <f>RANK(Rang!E9,Rang!A9:G9)</f>
        <v>1</v>
      </c>
      <c r="R122" s="20">
        <f>RANK(Rang!L9,Rang!H9:N9)</f>
        <v>1</v>
      </c>
      <c r="S122" s="19">
        <f>RANK(Rang!F9,Rang!A9:G9)</f>
        <v>1</v>
      </c>
      <c r="T122" s="20">
        <f>RANK(Rang!M9,Rang!H9:N9)</f>
        <v>1</v>
      </c>
      <c r="U122" s="19">
        <f>RANK(Rang!G9,Rang!A9:G9)</f>
        <v>1</v>
      </c>
      <c r="V122" s="20">
        <f>RANK(Rang!N9,Rang!H9:N9)</f>
        <v>1</v>
      </c>
      <c r="AF122" s="22"/>
      <c r="AG122" s="22"/>
      <c r="AH122" s="22"/>
      <c r="AI122" s="22"/>
      <c r="AJ122" s="22"/>
      <c r="AK122" s="21"/>
      <c r="AL122" s="21"/>
      <c r="AM122" s="21"/>
      <c r="AN122" s="21"/>
      <c r="AO122" s="21"/>
      <c r="AP122" s="21"/>
      <c r="AQ122" s="21"/>
      <c r="AR122" s="21"/>
      <c r="AS122" s="24"/>
      <c r="AT122" s="21"/>
      <c r="AU122" s="21"/>
      <c r="AV122" s="21"/>
      <c r="AW122" s="21"/>
      <c r="AX122" s="21"/>
      <c r="AY122" s="21"/>
      <c r="AZ122" s="21"/>
      <c r="BA122" s="21"/>
      <c r="BB122" s="21"/>
      <c r="BD122" s="25" t="s">
        <v>4</v>
      </c>
      <c r="BE122" s="25" t="s">
        <v>5</v>
      </c>
      <c r="BF122" s="26" t="s">
        <v>6</v>
      </c>
      <c r="BG122" s="27" t="s">
        <v>4</v>
      </c>
      <c r="BH122" s="25" t="s">
        <v>5</v>
      </c>
      <c r="BI122" s="26" t="s">
        <v>6</v>
      </c>
      <c r="BJ122" s="27" t="s">
        <v>4</v>
      </c>
      <c r="BK122" s="25" t="s">
        <v>5</v>
      </c>
      <c r="BL122" s="26" t="s">
        <v>6</v>
      </c>
      <c r="BM122" s="27" t="s">
        <v>4</v>
      </c>
      <c r="BN122" s="25" t="s">
        <v>5</v>
      </c>
      <c r="BO122" s="26" t="s">
        <v>6</v>
      </c>
      <c r="BP122" s="27" t="s">
        <v>4</v>
      </c>
      <c r="BQ122" s="25" t="s">
        <v>5</v>
      </c>
      <c r="BR122" s="26" t="s">
        <v>6</v>
      </c>
      <c r="BS122" s="27" t="s">
        <v>4</v>
      </c>
      <c r="BT122" s="25" t="s">
        <v>5</v>
      </c>
      <c r="BU122" s="26" t="s">
        <v>6</v>
      </c>
      <c r="BV122" s="27" t="s">
        <v>4</v>
      </c>
      <c r="BW122" s="25" t="s">
        <v>5</v>
      </c>
      <c r="BX122" s="26" t="s">
        <v>6</v>
      </c>
      <c r="BY122" s="27" t="s">
        <v>4</v>
      </c>
      <c r="BZ122" s="25" t="s">
        <v>5</v>
      </c>
      <c r="CA122" s="26" t="s">
        <v>6</v>
      </c>
      <c r="CB122" s="27" t="s">
        <v>4</v>
      </c>
      <c r="CC122" s="25" t="s">
        <v>5</v>
      </c>
      <c r="CD122" s="26" t="s">
        <v>6</v>
      </c>
      <c r="CE122" s="27" t="s">
        <v>4</v>
      </c>
      <c r="CF122" s="25" t="s">
        <v>5</v>
      </c>
      <c r="CG122" s="26" t="s">
        <v>6</v>
      </c>
      <c r="CH122" s="27" t="s">
        <v>4</v>
      </c>
      <c r="CI122" s="25" t="s">
        <v>5</v>
      </c>
      <c r="CJ122" s="26" t="s">
        <v>6</v>
      </c>
      <c r="CK122" s="27" t="s">
        <v>4</v>
      </c>
      <c r="CL122" s="25" t="s">
        <v>5</v>
      </c>
      <c r="CM122" s="26" t="s">
        <v>6</v>
      </c>
      <c r="CN122" s="27" t="s">
        <v>4</v>
      </c>
      <c r="CO122" s="25" t="s">
        <v>5</v>
      </c>
      <c r="CP122" s="26" t="s">
        <v>6</v>
      </c>
      <c r="CQ122" s="27" t="s">
        <v>4</v>
      </c>
      <c r="CR122" s="25" t="s">
        <v>5</v>
      </c>
      <c r="CS122" s="26" t="s">
        <v>6</v>
      </c>
      <c r="CT122" s="27" t="s">
        <v>4</v>
      </c>
      <c r="CU122" s="25" t="s">
        <v>5</v>
      </c>
      <c r="CV122" s="26" t="s">
        <v>6</v>
      </c>
      <c r="CW122" s="27" t="s">
        <v>4</v>
      </c>
      <c r="CX122" s="25" t="s">
        <v>5</v>
      </c>
      <c r="CY122" s="26" t="s">
        <v>6</v>
      </c>
      <c r="CZ122" s="27" t="s">
        <v>4</v>
      </c>
      <c r="DA122" s="25" t="s">
        <v>5</v>
      </c>
      <c r="DB122" s="26" t="s">
        <v>6</v>
      </c>
      <c r="DC122" s="27" t="s">
        <v>4</v>
      </c>
      <c r="DD122" s="25" t="s">
        <v>5</v>
      </c>
      <c r="DE122" s="26" t="s">
        <v>6</v>
      </c>
      <c r="DF122" s="21"/>
      <c r="DG122" s="21"/>
      <c r="DH122" s="21"/>
      <c r="DN122" s="136" t="s">
        <v>7</v>
      </c>
      <c r="DO122" s="136"/>
      <c r="DP122" s="136" t="s">
        <v>8</v>
      </c>
      <c r="DQ122" s="136"/>
      <c r="DR122" s="28"/>
    </row>
    <row r="123" spans="3:122" ht="11.25" customHeight="1" x14ac:dyDescent="0.2">
      <c r="C123" s="2" t="str">
        <f>ß01</f>
        <v>Bayern</v>
      </c>
      <c r="D123" s="3" t="s">
        <v>11</v>
      </c>
      <c r="E123" s="2" t="str">
        <f>ß03</f>
        <v>Leverk.</v>
      </c>
      <c r="F123" s="29"/>
      <c r="G123" s="3" t="s">
        <v>12</v>
      </c>
      <c r="H123" s="30"/>
      <c r="I123" s="31"/>
      <c r="J123" s="32" t="str">
        <f t="shared" ref="J123:J131" si="117">IF($F123="","",(IF(I123="","",IF(I123=$DG123,(VLOOKUP($DH123,$DJ$3:$DK$11,2,FALSE())),0))))</f>
        <v/>
      </c>
      <c r="K123" s="31"/>
      <c r="L123" s="32" t="str">
        <f t="shared" ref="L123:L131" si="118">IF($F123="","",(IF(K123="","",IF(K123=$DG123,(VLOOKUP($DH123,$DJ$3:$DK$11,2,FALSE())),0))))</f>
        <v/>
      </c>
      <c r="M123" s="31"/>
      <c r="N123" s="32" t="str">
        <f t="shared" ref="N123:N131" si="119">IF($F123="","",(IF(M123="","",IF(M123=$DG123,(VLOOKUP($DH123,$DJ$3:$DK$11,2,FALSE())),0))))</f>
        <v/>
      </c>
      <c r="O123" s="31"/>
      <c r="P123" s="32" t="str">
        <f t="shared" ref="P123:P131" si="120">IF($F123="","",(IF(O123="","",IF(O123=$DG123,(VLOOKUP($DH123,$DJ$3:$DK$11,2,FALSE())),0))))</f>
        <v/>
      </c>
      <c r="Q123" s="31"/>
      <c r="R123" s="32" t="str">
        <f t="shared" ref="R123:R131" si="121">IF($F123="","",(IF(Q123="","",IF(Q123=$DG123,(VLOOKUP($DH123,$DJ$3:$DK$11,2,FALSE())),0))))</f>
        <v/>
      </c>
      <c r="S123" s="31"/>
      <c r="T123" s="32" t="str">
        <f t="shared" ref="T123:T131" si="122">IF($F123="","",(IF(S123="","",IF(S123=$DG123,(VLOOKUP($DH123,$DJ$3:$DK$11,2,FALSE())),0))))</f>
        <v/>
      </c>
      <c r="U123" s="31"/>
      <c r="V123" s="32" t="str">
        <f t="shared" ref="V123:V131" si="123">IF($F123="","",(IF(U123="","",IF(U123=$DG123,(VLOOKUP($DH123,$DJ$3:$DK$11,2,FALSE())),0))))</f>
        <v/>
      </c>
      <c r="AF123" s="34"/>
      <c r="AG123" s="34"/>
      <c r="AH123" s="34"/>
      <c r="AI123" s="34"/>
      <c r="AJ123" s="34"/>
      <c r="AN123" s="5"/>
      <c r="AO123" s="5"/>
      <c r="AP123" s="5"/>
      <c r="AQ123" s="5"/>
      <c r="AR123" s="5"/>
      <c r="AS123" s="13"/>
      <c r="AT123" s="5"/>
      <c r="AU123" s="5"/>
      <c r="AV123" s="5"/>
      <c r="AW123" s="5"/>
      <c r="AX123" s="5"/>
      <c r="AY123" s="5"/>
      <c r="BC123" s="6">
        <v>122</v>
      </c>
      <c r="BD123" s="35">
        <f>IF(ISERROR(MATCH(ß01,$C123:$C131,0)),"",MATCH(ß01,$C123:$C131,0))</f>
        <v>1</v>
      </c>
      <c r="BE123" s="35" t="str">
        <f>IF(ISERROR(MATCH(ß01,$E123:$E131,0)),"",MATCH(ß01,$E123:$E131,0))</f>
        <v/>
      </c>
      <c r="BF123" s="15">
        <f>SUM(BD123:BE123)+BC123</f>
        <v>123</v>
      </c>
      <c r="BG123" s="36">
        <f>IF(ISERROR(MATCH(ß02,$C123:$C131,0)),"",MATCH(ß02,$C123:$C131,0))</f>
        <v>3</v>
      </c>
      <c r="BH123" s="35" t="str">
        <f>IF(ISERROR(MATCH(ß02,$E123:$E131,0)),"",MATCH(ß02,$E123:$E131,0))</f>
        <v/>
      </c>
      <c r="BI123" s="15">
        <f>SUM(BG123:BH123)+BC123</f>
        <v>125</v>
      </c>
      <c r="BJ123" s="36" t="str">
        <f>IF(ISERROR(MATCH(ß03,$C123:$C131,0)),"",MATCH(ß03,$C123:$C131,0))</f>
        <v/>
      </c>
      <c r="BK123" s="35">
        <f>IF(ISERROR(MATCH(ß03,$E123:$E131,0)),"",MATCH(ß03,$E123:$E131,0))</f>
        <v>1</v>
      </c>
      <c r="BL123" s="15">
        <f>SUM(BJ123:BK123)+BC123</f>
        <v>123</v>
      </c>
      <c r="BM123" s="36" t="str">
        <f>IF(ISERROR(MATCH(ß04,$C123:$C131,0)),"",MATCH(ß04,$C123:$C131,0))</f>
        <v/>
      </c>
      <c r="BN123" s="35">
        <f>IF(ISERROR(MATCH(ß04,$E123:$E131,0)),"",MATCH(ß04,$E123:$E131,0))</f>
        <v>4</v>
      </c>
      <c r="BO123" s="15">
        <f>SUM(BM123:BN123)+BC123</f>
        <v>126</v>
      </c>
      <c r="BP123" s="36" t="str">
        <f>IF(ISERROR(MATCH(ß05,$C123:$C131,0)),"",MATCH(ß05,$C123:$C131,0))</f>
        <v/>
      </c>
      <c r="BQ123" s="35">
        <f>IF(ISERROR(MATCH(ß05,$E123:$E131,0)),"",MATCH(ß05,$E123:$E131,0))</f>
        <v>8</v>
      </c>
      <c r="BR123" s="15">
        <f>SUM(BP123:BQ123)+BC123</f>
        <v>130</v>
      </c>
      <c r="BS123" s="36" t="str">
        <f>IF(ISERROR(MATCH(ß06,$C123:$C131,0)),"",MATCH(ß06,$C123:$C131,0))</f>
        <v/>
      </c>
      <c r="BT123" s="35">
        <f>IF(ISERROR(MATCH(ß06,$E123:$E131,0)),"",MATCH(ß06,$E123:$E131,0))</f>
        <v>2</v>
      </c>
      <c r="BU123" s="15">
        <f>SUM(BS123:BT123)+BC123</f>
        <v>124</v>
      </c>
      <c r="BV123" s="36" t="str">
        <f>IF(ISERROR(MATCH(ß07,$C123:$C131,0)),"",MATCH(ß07,$C123:$C131,0))</f>
        <v/>
      </c>
      <c r="BW123" s="35">
        <f>IF(ISERROR(MATCH(ß07,$E123:$E131,0)),"",MATCH(ß07,$E123:$E131,0))</f>
        <v>6</v>
      </c>
      <c r="BX123" s="15">
        <f>SUM(BV123:BW123)+BC123</f>
        <v>128</v>
      </c>
      <c r="BY123" s="36">
        <f>IF(ISERROR(MATCH(ß08,$C123:$C131,0)),"",MATCH(ß08,$C123:$C131,0))</f>
        <v>5</v>
      </c>
      <c r="BZ123" s="35" t="str">
        <f>IF(ISERROR(MATCH(ß08,$E123:$E131,0)),"",MATCH(ß08,$E123:$E131,0))</f>
        <v/>
      </c>
      <c r="CA123" s="15">
        <f>SUM(BY123:BZ123)+BC123</f>
        <v>127</v>
      </c>
      <c r="CB123" s="36">
        <f>IF(ISERROR(MATCH(ß09,$C123:$C131,0)),"",MATCH(ß09,$C123:$C131,0))</f>
        <v>2</v>
      </c>
      <c r="CC123" s="35" t="str">
        <f>IF(ISERROR(MATCH(ß09,$E123:$E131,0)),"",MATCH(ß09,$E123:$E131,0))</f>
        <v/>
      </c>
      <c r="CD123" s="15">
        <f>SUM(CB123:CC123)+BC123</f>
        <v>124</v>
      </c>
      <c r="CE123" s="36">
        <f>IF(ISERROR(MATCH(ß10,$C123:$C131,0)),"",MATCH(ß10,$C123:$C131,0))</f>
        <v>9</v>
      </c>
      <c r="CF123" s="35" t="str">
        <f>IF(ISERROR(MATCH(ß10,$E123:$E131,0)),"",MATCH(ß10,$E123:$E131,0))</f>
        <v/>
      </c>
      <c r="CG123" s="15">
        <f>SUM(CE123:CF123)+BC123</f>
        <v>131</v>
      </c>
      <c r="CH123" s="36" t="str">
        <f>IF(ISERROR(MATCH(ß11,$C123:$C131,0)),"",MATCH(ß11,$C123:$C131,0))</f>
        <v/>
      </c>
      <c r="CI123" s="35">
        <f>IF(ISERROR(MATCH(ß11,$E123:$E131,0)),"",MATCH(ß11,$E123:$E131,0))</f>
        <v>7</v>
      </c>
      <c r="CJ123" s="15">
        <f>SUM(CH123:CI123)+BC123</f>
        <v>129</v>
      </c>
      <c r="CK123" s="36" t="str">
        <f>IF(ISERROR(MATCH(ß12,$C123:$C131,0)),"",MATCH(ß12,$C123:$C131,0))</f>
        <v/>
      </c>
      <c r="CL123" s="35">
        <f>IF(ISERROR(MATCH(ß12,$E123:$E131,0)),"",MATCH(ß12,$E123:$E131,0))</f>
        <v>9</v>
      </c>
      <c r="CM123" s="15">
        <f>SUM(CK123:CL123)+BC123</f>
        <v>131</v>
      </c>
      <c r="CN123" s="36">
        <f>IF(ISERROR(MATCH(ß13,$C123:$C131,0)),"",MATCH(ß13,$C123:$C131,0))</f>
        <v>6</v>
      </c>
      <c r="CO123" s="35" t="str">
        <f>IF(ISERROR(MATCH(ß13,$E123:$E131,0)),"",MATCH(ß13,$E123:$E131,0))</f>
        <v/>
      </c>
      <c r="CP123" s="15">
        <f>SUM(CN123:CO123)+BC123</f>
        <v>128</v>
      </c>
      <c r="CQ123" s="36" t="str">
        <f>IF(ISERROR(MATCH(ß14,$C123:$C131,0)),"",MATCH(ß14,$C123:$C131,0))</f>
        <v/>
      </c>
      <c r="CR123" s="35">
        <f>IF(ISERROR(MATCH(ß14,$E123:$E131,0)),"",MATCH(ß14,$E123:$E131,0))</f>
        <v>3</v>
      </c>
      <c r="CS123" s="15">
        <f>SUM(CQ123:CR123)+BC123</f>
        <v>125</v>
      </c>
      <c r="CT123" s="36">
        <f>IF(ISERROR(MATCH(ß15,$C123:$C131,0)),"",MATCH(ß15,$C123:$C131,0))</f>
        <v>7</v>
      </c>
      <c r="CU123" s="35" t="str">
        <f>IF(ISERROR(MATCH(ß15,$E123:$E131,0)),"",MATCH(ß15,$E123:$E131,0))</f>
        <v/>
      </c>
      <c r="CV123" s="15">
        <f>SUM(CT123:CU123)+BC123</f>
        <v>129</v>
      </c>
      <c r="CW123" s="36" t="str">
        <f>IF(ISERROR(MATCH(ß16,$C123:$C131,0)),"",MATCH(ß16,$C123:$C131,0))</f>
        <v/>
      </c>
      <c r="CX123" s="35">
        <f>IF(ISERROR(MATCH(ß16,$E123:$E131,0)),"",MATCH(ß16,$E123:$E131,0))</f>
        <v>5</v>
      </c>
      <c r="CY123" s="15">
        <f>SUM(CW123:CX123)+BC123</f>
        <v>127</v>
      </c>
      <c r="CZ123" s="36">
        <f>IF(ISERROR(MATCH(ß17,$C123:$C131,0)),"",MATCH(ß17,$C123:$C131,0))</f>
        <v>8</v>
      </c>
      <c r="DA123" s="35" t="str">
        <f>IF(ISERROR(MATCH(ß17,$E123:$E131,0)),"",MATCH(ß17,$E123:$E131,0))</f>
        <v/>
      </c>
      <c r="DB123" s="15">
        <f>SUM(CZ123:DA123)+BC123</f>
        <v>130</v>
      </c>
      <c r="DC123" s="36">
        <f>IF(ISERROR(MATCH(ß18,$C123:$C131,0)),"",MATCH(ß18,$C123:$C131,0))</f>
        <v>4</v>
      </c>
      <c r="DD123" s="35" t="str">
        <f>IF(ISERROR(MATCH(ß18,$E123:$E131,0)),"",MATCH(ß18,$E123:$E131,0))</f>
        <v/>
      </c>
      <c r="DE123" s="15">
        <f>SUM(DC123:DD123)+BC123</f>
        <v>126</v>
      </c>
      <c r="DG123" s="8" t="str">
        <f t="shared" ref="DG123:DG131" si="124">IF(F123="","",(IF(F123=H123,0,IF(F123&gt;H123,1,IF(F123&lt;H123,2)))))</f>
        <v/>
      </c>
      <c r="DH123" s="3">
        <f>COUNTIF(I123,DG123)+COUNTIF(K123,DG123)+COUNTIF(M123,DG123)+COUNTIF(O123,DG123)+COUNTIF(Q123,DG123)+COUNTIF(S123,DG123)+COUNTIF(U123,DG123)</f>
        <v>7</v>
      </c>
      <c r="DN123" s="12">
        <f t="shared" ref="DN123:DN131" si="125">F123</f>
        <v>0</v>
      </c>
      <c r="DO123" s="5">
        <f t="shared" ref="DO123:DO131" si="126">H123</f>
        <v>0</v>
      </c>
      <c r="DP123" s="5" t="str">
        <f t="shared" ref="DP123:DP131" si="127">IF($F123="","",IF(DN123&gt;DO123,3,IF(DN123&lt;DO123,0,1)))</f>
        <v/>
      </c>
      <c r="DQ123" s="5" t="str">
        <f t="shared" ref="DQ123:DQ131" si="128">IF($H123="","",IF(DO123&gt;DN123,3,IF(DO123&lt;DN123,0,1)))</f>
        <v/>
      </c>
      <c r="DR123" s="5">
        <f t="shared" ref="DR123:DR131" si="129">IF(ISBLANK(F123),0,1)</f>
        <v>0</v>
      </c>
    </row>
    <row r="124" spans="3:122" ht="11.25" customHeight="1" x14ac:dyDescent="0.2">
      <c r="C124" s="2" t="str">
        <f>ß09</f>
        <v>Mainz</v>
      </c>
      <c r="D124" s="3" t="s">
        <v>11</v>
      </c>
      <c r="E124" s="2" t="str">
        <f>ß06</f>
        <v>Werder</v>
      </c>
      <c r="F124" s="29"/>
      <c r="G124" s="3" t="s">
        <v>12</v>
      </c>
      <c r="H124" s="30"/>
      <c r="I124" s="37"/>
      <c r="J124" s="38" t="str">
        <f t="shared" si="117"/>
        <v/>
      </c>
      <c r="K124" s="37"/>
      <c r="L124" s="38" t="str">
        <f t="shared" si="118"/>
        <v/>
      </c>
      <c r="M124" s="37"/>
      <c r="N124" s="38" t="str">
        <f t="shared" si="119"/>
        <v/>
      </c>
      <c r="O124" s="37"/>
      <c r="P124" s="38" t="str">
        <f t="shared" si="120"/>
        <v/>
      </c>
      <c r="Q124" s="37"/>
      <c r="R124" s="38" t="str">
        <f t="shared" si="121"/>
        <v/>
      </c>
      <c r="S124" s="37"/>
      <c r="T124" s="38" t="str">
        <f t="shared" si="122"/>
        <v/>
      </c>
      <c r="U124" s="33"/>
      <c r="V124" s="38" t="str">
        <f t="shared" si="123"/>
        <v/>
      </c>
      <c r="AF124" s="34"/>
      <c r="AG124" s="34"/>
      <c r="AH124" s="34"/>
      <c r="AI124" s="34"/>
      <c r="AJ124" s="34"/>
      <c r="DG124" s="8" t="str">
        <f t="shared" si="124"/>
        <v/>
      </c>
      <c r="DH124" s="3">
        <f t="shared" ref="DH124:DH131" si="130">COUNTIF(I124,DG124)+COUNTIF(K124,DG124)+COUNTIF(M124,DG124)+COUNTIF(O124,DG124)+COUNTIF(Q124,DG124)+COUNTIF(S124,DG124)+COUNTIF(U124,DG124)</f>
        <v>7</v>
      </c>
      <c r="DN124" s="12">
        <f t="shared" si="125"/>
        <v>0</v>
      </c>
      <c r="DO124" s="5">
        <f t="shared" si="126"/>
        <v>0</v>
      </c>
      <c r="DP124" s="5" t="str">
        <f t="shared" si="127"/>
        <v/>
      </c>
      <c r="DQ124" s="5" t="str">
        <f t="shared" si="128"/>
        <v/>
      </c>
      <c r="DR124" s="5">
        <f t="shared" si="129"/>
        <v>0</v>
      </c>
    </row>
    <row r="125" spans="3:122" ht="11.25" customHeight="1" x14ac:dyDescent="0.2">
      <c r="C125" s="2" t="str">
        <f>ß02</f>
        <v>Leipzig</v>
      </c>
      <c r="D125" s="3" t="s">
        <v>11</v>
      </c>
      <c r="E125" s="2" t="str">
        <f>ß14</f>
        <v>Stuttgart</v>
      </c>
      <c r="F125" s="29"/>
      <c r="G125" s="3" t="s">
        <v>12</v>
      </c>
      <c r="H125" s="30"/>
      <c r="I125" s="37"/>
      <c r="J125" s="38" t="str">
        <f t="shared" si="117"/>
        <v/>
      </c>
      <c r="K125" s="37"/>
      <c r="L125" s="38" t="str">
        <f t="shared" si="118"/>
        <v/>
      </c>
      <c r="M125" s="37"/>
      <c r="N125" s="38" t="str">
        <f t="shared" si="119"/>
        <v/>
      </c>
      <c r="O125" s="37"/>
      <c r="P125" s="38" t="str">
        <f t="shared" si="120"/>
        <v/>
      </c>
      <c r="Q125" s="37"/>
      <c r="R125" s="38" t="str">
        <f t="shared" si="121"/>
        <v/>
      </c>
      <c r="S125" s="37"/>
      <c r="T125" s="38" t="str">
        <f t="shared" si="122"/>
        <v/>
      </c>
      <c r="U125" s="33"/>
      <c r="V125" s="38" t="str">
        <f t="shared" si="123"/>
        <v/>
      </c>
      <c r="AF125" s="34"/>
      <c r="AG125" s="34"/>
      <c r="AH125" s="34"/>
      <c r="AI125" s="34"/>
      <c r="AJ125" s="34"/>
      <c r="DG125" s="8" t="str">
        <f t="shared" si="124"/>
        <v/>
      </c>
      <c r="DH125" s="3">
        <f t="shared" si="130"/>
        <v>7</v>
      </c>
      <c r="DN125" s="12">
        <f t="shared" si="125"/>
        <v>0</v>
      </c>
      <c r="DO125" s="5">
        <f t="shared" si="126"/>
        <v>0</v>
      </c>
      <c r="DP125" s="5" t="str">
        <f t="shared" si="127"/>
        <v/>
      </c>
      <c r="DQ125" s="5" t="str">
        <f t="shared" si="128"/>
        <v/>
      </c>
      <c r="DR125" s="5">
        <f t="shared" si="129"/>
        <v>0</v>
      </c>
    </row>
    <row r="126" spans="3:122" ht="11.25" customHeight="1" x14ac:dyDescent="0.2">
      <c r="C126" s="2" t="str">
        <f>ß18</f>
        <v>Wolfsburg</v>
      </c>
      <c r="D126" s="3" t="s">
        <v>11</v>
      </c>
      <c r="E126" s="2" t="str">
        <f>ß04</f>
        <v>Hoffenheim</v>
      </c>
      <c r="F126" s="29"/>
      <c r="G126" s="3" t="s">
        <v>12</v>
      </c>
      <c r="H126" s="30"/>
      <c r="I126" s="37"/>
      <c r="J126" s="38" t="str">
        <f t="shared" si="117"/>
        <v/>
      </c>
      <c r="K126" s="37"/>
      <c r="L126" s="38" t="str">
        <f t="shared" si="118"/>
        <v/>
      </c>
      <c r="M126" s="37"/>
      <c r="N126" s="38" t="str">
        <f t="shared" si="119"/>
        <v/>
      </c>
      <c r="O126" s="37"/>
      <c r="P126" s="38" t="str">
        <f t="shared" si="120"/>
        <v/>
      </c>
      <c r="Q126" s="37"/>
      <c r="R126" s="38" t="str">
        <f t="shared" si="121"/>
        <v/>
      </c>
      <c r="S126" s="37"/>
      <c r="T126" s="38" t="str">
        <f t="shared" si="122"/>
        <v/>
      </c>
      <c r="U126" s="33"/>
      <c r="V126" s="38" t="str">
        <f t="shared" si="123"/>
        <v/>
      </c>
      <c r="AF126" s="34"/>
      <c r="AG126" s="34"/>
      <c r="AH126" s="34"/>
      <c r="AI126" s="34"/>
      <c r="AJ126" s="34"/>
      <c r="DG126" s="8" t="str">
        <f t="shared" si="124"/>
        <v/>
      </c>
      <c r="DH126" s="3">
        <f t="shared" si="130"/>
        <v>7</v>
      </c>
      <c r="DN126" s="12">
        <f t="shared" si="125"/>
        <v>0</v>
      </c>
      <c r="DO126" s="5">
        <f t="shared" si="126"/>
        <v>0</v>
      </c>
      <c r="DP126" s="5" t="str">
        <f t="shared" si="127"/>
        <v/>
      </c>
      <c r="DQ126" s="5" t="str">
        <f t="shared" si="128"/>
        <v/>
      </c>
      <c r="DR126" s="5">
        <f t="shared" si="129"/>
        <v>0</v>
      </c>
    </row>
    <row r="127" spans="3:122" ht="11.25" customHeight="1" x14ac:dyDescent="0.2">
      <c r="C127" s="2" t="str">
        <f>ß08</f>
        <v>Augsburg</v>
      </c>
      <c r="D127" s="3" t="s">
        <v>11</v>
      </c>
      <c r="E127" s="2" t="str">
        <f>ß16</f>
        <v>Dortmund</v>
      </c>
      <c r="F127" s="29"/>
      <c r="G127" s="3" t="s">
        <v>12</v>
      </c>
      <c r="H127" s="30"/>
      <c r="I127" s="37"/>
      <c r="J127" s="38" t="str">
        <f t="shared" si="117"/>
        <v/>
      </c>
      <c r="K127" s="37"/>
      <c r="L127" s="38" t="str">
        <f t="shared" si="118"/>
        <v/>
      </c>
      <c r="M127" s="37"/>
      <c r="N127" s="38" t="str">
        <f t="shared" si="119"/>
        <v/>
      </c>
      <c r="O127" s="37"/>
      <c r="P127" s="38" t="str">
        <f t="shared" si="120"/>
        <v/>
      </c>
      <c r="Q127" s="37"/>
      <c r="R127" s="38" t="str">
        <f t="shared" si="121"/>
        <v/>
      </c>
      <c r="S127" s="37"/>
      <c r="T127" s="38" t="str">
        <f t="shared" si="122"/>
        <v/>
      </c>
      <c r="U127" s="33"/>
      <c r="V127" s="38" t="str">
        <f t="shared" si="123"/>
        <v/>
      </c>
      <c r="AF127" s="34"/>
      <c r="AG127" s="34"/>
      <c r="AH127" s="34"/>
      <c r="AI127" s="34"/>
      <c r="AJ127" s="34"/>
      <c r="DG127" s="8" t="str">
        <f t="shared" si="124"/>
        <v/>
      </c>
      <c r="DH127" s="3">
        <f t="shared" si="130"/>
        <v>7</v>
      </c>
      <c r="DN127" s="12">
        <f t="shared" si="125"/>
        <v>0</v>
      </c>
      <c r="DO127" s="5">
        <f t="shared" si="126"/>
        <v>0</v>
      </c>
      <c r="DP127" s="5" t="str">
        <f t="shared" si="127"/>
        <v/>
      </c>
      <c r="DQ127" s="5" t="str">
        <f t="shared" si="128"/>
        <v/>
      </c>
      <c r="DR127" s="5">
        <f t="shared" si="129"/>
        <v>0</v>
      </c>
    </row>
    <row r="128" spans="3:122" ht="11.25" customHeight="1" x14ac:dyDescent="0.2">
      <c r="C128" s="2" t="str">
        <f>ß13</f>
        <v>Union</v>
      </c>
      <c r="D128" s="3" t="s">
        <v>11</v>
      </c>
      <c r="E128" s="2" t="str">
        <f>ß07</f>
        <v>Freiburg</v>
      </c>
      <c r="F128" s="29"/>
      <c r="G128" s="3" t="s">
        <v>12</v>
      </c>
      <c r="H128" s="30"/>
      <c r="I128" s="37"/>
      <c r="J128" s="38" t="str">
        <f t="shared" si="117"/>
        <v/>
      </c>
      <c r="K128" s="37"/>
      <c r="L128" s="38" t="str">
        <f t="shared" si="118"/>
        <v/>
      </c>
      <c r="M128" s="37"/>
      <c r="N128" s="38" t="str">
        <f t="shared" si="119"/>
        <v/>
      </c>
      <c r="O128" s="37"/>
      <c r="P128" s="38" t="str">
        <f t="shared" si="120"/>
        <v/>
      </c>
      <c r="Q128" s="37"/>
      <c r="R128" s="38" t="str">
        <f t="shared" si="121"/>
        <v/>
      </c>
      <c r="S128" s="37"/>
      <c r="T128" s="38" t="str">
        <f t="shared" si="122"/>
        <v/>
      </c>
      <c r="U128" s="33"/>
      <c r="V128" s="38" t="str">
        <f t="shared" si="123"/>
        <v/>
      </c>
      <c r="AF128" s="34"/>
      <c r="AG128" s="34"/>
      <c r="AH128" s="34"/>
      <c r="AI128" s="34"/>
      <c r="AJ128" s="34"/>
      <c r="DG128" s="8" t="str">
        <f t="shared" si="124"/>
        <v/>
      </c>
      <c r="DH128" s="3">
        <f t="shared" si="130"/>
        <v>7</v>
      </c>
      <c r="DN128" s="12">
        <f t="shared" si="125"/>
        <v>0</v>
      </c>
      <c r="DO128" s="5">
        <f t="shared" si="126"/>
        <v>0</v>
      </c>
      <c r="DP128" s="5" t="str">
        <f t="shared" si="127"/>
        <v/>
      </c>
      <c r="DQ128" s="5" t="str">
        <f t="shared" si="128"/>
        <v/>
      </c>
      <c r="DR128" s="5">
        <f t="shared" si="129"/>
        <v>0</v>
      </c>
    </row>
    <row r="129" spans="3:122" ht="11.25" customHeight="1" x14ac:dyDescent="0.2">
      <c r="C129" s="2" t="str">
        <f>ß15</f>
        <v>St. Pauli</v>
      </c>
      <c r="D129" s="3" t="s">
        <v>11</v>
      </c>
      <c r="E129" s="2" t="str">
        <f>ß11</f>
        <v>M'gladb.</v>
      </c>
      <c r="F129" s="29"/>
      <c r="G129" s="3" t="s">
        <v>12</v>
      </c>
      <c r="H129" s="30"/>
      <c r="I129" s="37"/>
      <c r="J129" s="38" t="str">
        <f t="shared" si="117"/>
        <v/>
      </c>
      <c r="K129" s="37"/>
      <c r="L129" s="38" t="str">
        <f t="shared" si="118"/>
        <v/>
      </c>
      <c r="M129" s="37"/>
      <c r="N129" s="38" t="str">
        <f t="shared" si="119"/>
        <v/>
      </c>
      <c r="O129" s="37"/>
      <c r="P129" s="38" t="str">
        <f t="shared" si="120"/>
        <v/>
      </c>
      <c r="Q129" s="37"/>
      <c r="R129" s="38" t="str">
        <f t="shared" si="121"/>
        <v/>
      </c>
      <c r="S129" s="37"/>
      <c r="T129" s="38" t="str">
        <f t="shared" si="122"/>
        <v/>
      </c>
      <c r="U129" s="33"/>
      <c r="V129" s="38" t="str">
        <f t="shared" si="123"/>
        <v/>
      </c>
      <c r="AF129" s="34"/>
      <c r="AG129" s="34"/>
      <c r="AH129" s="34"/>
      <c r="AI129" s="34"/>
      <c r="AJ129" s="34"/>
      <c r="DG129" s="8" t="str">
        <f t="shared" si="124"/>
        <v/>
      </c>
      <c r="DH129" s="3">
        <f t="shared" si="130"/>
        <v>7</v>
      </c>
      <c r="DN129" s="12">
        <f t="shared" si="125"/>
        <v>0</v>
      </c>
      <c r="DO129" s="5">
        <f t="shared" si="126"/>
        <v>0</v>
      </c>
      <c r="DP129" s="5" t="str">
        <f t="shared" si="127"/>
        <v/>
      </c>
      <c r="DQ129" s="5" t="str">
        <f t="shared" si="128"/>
        <v/>
      </c>
      <c r="DR129" s="5">
        <f t="shared" si="129"/>
        <v>0</v>
      </c>
    </row>
    <row r="130" spans="3:122" ht="11.25" customHeight="1" x14ac:dyDescent="0.2">
      <c r="C130" s="2" t="str">
        <f>ß17</f>
        <v>Heidenheim</v>
      </c>
      <c r="D130" s="3" t="s">
        <v>11</v>
      </c>
      <c r="E130" s="2" t="str">
        <f>ß05</f>
        <v>Frankfurt</v>
      </c>
      <c r="F130" s="29"/>
      <c r="G130" s="3" t="s">
        <v>12</v>
      </c>
      <c r="H130" s="30"/>
      <c r="I130" s="37"/>
      <c r="J130" s="38" t="str">
        <f t="shared" si="117"/>
        <v/>
      </c>
      <c r="K130" s="37"/>
      <c r="L130" s="38" t="str">
        <f t="shared" si="118"/>
        <v/>
      </c>
      <c r="M130" s="37"/>
      <c r="N130" s="38" t="str">
        <f t="shared" si="119"/>
        <v/>
      </c>
      <c r="O130" s="37"/>
      <c r="P130" s="38" t="str">
        <f t="shared" si="120"/>
        <v/>
      </c>
      <c r="Q130" s="37"/>
      <c r="R130" s="38" t="str">
        <f t="shared" si="121"/>
        <v/>
      </c>
      <c r="S130" s="37"/>
      <c r="T130" s="38" t="str">
        <f t="shared" si="122"/>
        <v/>
      </c>
      <c r="U130" s="33"/>
      <c r="V130" s="38" t="str">
        <f t="shared" si="123"/>
        <v/>
      </c>
      <c r="AF130" s="34"/>
      <c r="AG130" s="34"/>
      <c r="AH130" s="34"/>
      <c r="AI130" s="34"/>
      <c r="AJ130" s="34"/>
      <c r="DG130" s="8" t="str">
        <f t="shared" si="124"/>
        <v/>
      </c>
      <c r="DH130" s="3">
        <f t="shared" si="130"/>
        <v>7</v>
      </c>
      <c r="DN130" s="12">
        <f t="shared" si="125"/>
        <v>0</v>
      </c>
      <c r="DO130" s="5">
        <f t="shared" si="126"/>
        <v>0</v>
      </c>
      <c r="DP130" s="5" t="str">
        <f t="shared" si="127"/>
        <v/>
      </c>
      <c r="DQ130" s="5" t="str">
        <f t="shared" si="128"/>
        <v/>
      </c>
      <c r="DR130" s="5">
        <f t="shared" si="129"/>
        <v>0</v>
      </c>
    </row>
    <row r="131" spans="3:122" ht="11.25" customHeight="1" thickBot="1" x14ac:dyDescent="0.25">
      <c r="C131" s="2" t="str">
        <f>ß10</f>
        <v>Köln</v>
      </c>
      <c r="D131" s="3" t="s">
        <v>11</v>
      </c>
      <c r="E131" s="2" t="str">
        <f>ß12</f>
        <v>HSV</v>
      </c>
      <c r="F131" s="29"/>
      <c r="G131" s="3" t="s">
        <v>12</v>
      </c>
      <c r="H131" s="30"/>
      <c r="I131" s="37"/>
      <c r="J131" s="38" t="str">
        <f t="shared" si="117"/>
        <v/>
      </c>
      <c r="K131" s="37"/>
      <c r="L131" s="38" t="str">
        <f t="shared" si="118"/>
        <v/>
      </c>
      <c r="M131" s="37"/>
      <c r="N131" s="38" t="str">
        <f t="shared" si="119"/>
        <v/>
      </c>
      <c r="O131" s="37"/>
      <c r="P131" s="38" t="str">
        <f t="shared" si="120"/>
        <v/>
      </c>
      <c r="Q131" s="37"/>
      <c r="R131" s="38" t="str">
        <f t="shared" si="121"/>
        <v/>
      </c>
      <c r="S131" s="37"/>
      <c r="T131" s="38" t="str">
        <f t="shared" si="122"/>
        <v/>
      </c>
      <c r="U131" s="33"/>
      <c r="V131" s="38" t="str">
        <f t="shared" si="123"/>
        <v/>
      </c>
      <c r="AF131" s="34"/>
      <c r="AG131" s="34"/>
      <c r="AH131" s="34"/>
      <c r="AI131" s="34"/>
      <c r="AJ131" s="34"/>
      <c r="DG131" s="8" t="str">
        <f t="shared" si="124"/>
        <v/>
      </c>
      <c r="DH131" s="3">
        <f t="shared" si="130"/>
        <v>7</v>
      </c>
      <c r="DN131" s="12">
        <f t="shared" si="125"/>
        <v>0</v>
      </c>
      <c r="DO131" s="5">
        <f t="shared" si="126"/>
        <v>0</v>
      </c>
      <c r="DP131" s="5" t="str">
        <f t="shared" si="127"/>
        <v/>
      </c>
      <c r="DQ131" s="5" t="str">
        <f t="shared" si="128"/>
        <v/>
      </c>
      <c r="DR131" s="5">
        <f t="shared" si="129"/>
        <v>0</v>
      </c>
    </row>
    <row r="132" spans="3:122" ht="11.25" customHeight="1" thickTop="1" x14ac:dyDescent="0.2">
      <c r="C132" s="41">
        <f>(I132+K132+M132+O132+Q132+S132+U132)</f>
        <v>0</v>
      </c>
      <c r="E132" s="42">
        <f>C132/8</f>
        <v>0</v>
      </c>
      <c r="F132" s="41">
        <f>SUM(F123:F131)</f>
        <v>0</v>
      </c>
      <c r="G132" s="2"/>
      <c r="H132" s="43">
        <f>SUM(H123:H131)</f>
        <v>0</v>
      </c>
      <c r="I132" s="44">
        <f>COUNTIF(J123:J131,"&gt;0")</f>
        <v>0</v>
      </c>
      <c r="J132" s="45">
        <f>I132+J117</f>
        <v>0</v>
      </c>
      <c r="K132" s="44">
        <f>COUNTIF(L123:L131,"&gt;0")</f>
        <v>0</v>
      </c>
      <c r="L132" s="45">
        <f>K132+L117</f>
        <v>0</v>
      </c>
      <c r="M132" s="44">
        <f>COUNTIF(N123:N131,"&gt;0")</f>
        <v>0</v>
      </c>
      <c r="N132" s="45">
        <f>M132+N117</f>
        <v>0</v>
      </c>
      <c r="O132" s="44">
        <f>COUNTIF(P123:P131,"&gt;0")</f>
        <v>0</v>
      </c>
      <c r="P132" s="45">
        <f>O132+P117</f>
        <v>0</v>
      </c>
      <c r="Q132" s="44">
        <f>COUNTIF(R123:R131,"&gt;0")</f>
        <v>0</v>
      </c>
      <c r="R132" s="45">
        <f>Q132+R117</f>
        <v>0</v>
      </c>
      <c r="S132" s="44">
        <f>COUNTIF(T123:T131,"&gt;0")</f>
        <v>0</v>
      </c>
      <c r="T132" s="45">
        <f>S132+T117</f>
        <v>0</v>
      </c>
      <c r="U132" s="44">
        <f>COUNTIF(V123:V131,"&gt;0")</f>
        <v>0</v>
      </c>
      <c r="V132" s="45">
        <f>U132+V117</f>
        <v>0</v>
      </c>
      <c r="AF132" s="34"/>
      <c r="AG132" s="34"/>
      <c r="AH132" s="34"/>
      <c r="AI132" s="34"/>
      <c r="AJ132" s="34"/>
    </row>
    <row r="133" spans="3:122" ht="11.25" customHeight="1" x14ac:dyDescent="0.2">
      <c r="C133" s="41">
        <f>(I133+K133+M133+O133+Q133+S133+U133)</f>
        <v>0</v>
      </c>
      <c r="E133" s="42">
        <f>C133/8</f>
        <v>0</v>
      </c>
      <c r="F133" s="137">
        <f>F132+H132</f>
        <v>0</v>
      </c>
      <c r="G133" s="137"/>
      <c r="H133" s="137"/>
      <c r="I133" s="46">
        <f>SUM(J123:J131)</f>
        <v>0</v>
      </c>
      <c r="J133" s="47">
        <f>I133+J118</f>
        <v>0</v>
      </c>
      <c r="K133" s="46">
        <f>SUM(L123:L131)</f>
        <v>0</v>
      </c>
      <c r="L133" s="47">
        <f>K133+L118</f>
        <v>0</v>
      </c>
      <c r="M133" s="46">
        <f>SUM(N123:N131)</f>
        <v>0</v>
      </c>
      <c r="N133" s="47">
        <f>M133+N118</f>
        <v>0</v>
      </c>
      <c r="O133" s="46">
        <f>SUM(P123:P131)</f>
        <v>0</v>
      </c>
      <c r="P133" s="47">
        <f>O133+P118</f>
        <v>0</v>
      </c>
      <c r="Q133" s="46">
        <f>SUM(R123:R131)</f>
        <v>0</v>
      </c>
      <c r="R133" s="47">
        <f>Q133+R118</f>
        <v>0</v>
      </c>
      <c r="S133" s="46">
        <f>SUM(T123:T131)</f>
        <v>0</v>
      </c>
      <c r="T133" s="47">
        <f>S133+T118</f>
        <v>0</v>
      </c>
      <c r="U133" s="46">
        <f>SUM(V123:V131)</f>
        <v>0</v>
      </c>
      <c r="V133" s="47">
        <f>U133+V118</f>
        <v>0</v>
      </c>
      <c r="AF133" s="34"/>
      <c r="AG133" s="34"/>
      <c r="AH133" s="34"/>
      <c r="AI133" s="34"/>
      <c r="AJ133" s="34"/>
    </row>
    <row r="134" spans="3:122" ht="11.25" customHeight="1" thickBot="1" x14ac:dyDescent="0.25">
      <c r="C134" s="41">
        <f>(I134+K134+M134+O134+Q134+S134+U134)</f>
        <v>0</v>
      </c>
      <c r="E134" s="42">
        <f>C134/8</f>
        <v>0</v>
      </c>
      <c r="F134" s="138">
        <f>F133+F119</f>
        <v>0</v>
      </c>
      <c r="G134" s="138"/>
      <c r="H134" s="138"/>
      <c r="I134" s="48">
        <f>I132*I133</f>
        <v>0</v>
      </c>
      <c r="J134" s="49">
        <f>I134+J119</f>
        <v>0</v>
      </c>
      <c r="K134" s="48">
        <f>K132*K133</f>
        <v>0</v>
      </c>
      <c r="L134" s="49">
        <f>K134+L119</f>
        <v>0</v>
      </c>
      <c r="M134" s="48">
        <f>M132*M133</f>
        <v>0</v>
      </c>
      <c r="N134" s="49">
        <f>M134+N119</f>
        <v>0</v>
      </c>
      <c r="O134" s="48">
        <f>O132*O133</f>
        <v>0</v>
      </c>
      <c r="P134" s="49">
        <f>O134+P119</f>
        <v>0</v>
      </c>
      <c r="Q134" s="48">
        <f>Q132*Q133</f>
        <v>0</v>
      </c>
      <c r="R134" s="49">
        <f>Q134+R119</f>
        <v>0</v>
      </c>
      <c r="S134" s="48">
        <f>S132*S133</f>
        <v>0</v>
      </c>
      <c r="T134" s="49">
        <f>S134+T119</f>
        <v>0</v>
      </c>
      <c r="U134" s="48">
        <f>U132*U133</f>
        <v>0</v>
      </c>
      <c r="V134" s="49">
        <f>U134+V119</f>
        <v>0</v>
      </c>
      <c r="AF134" s="34"/>
      <c r="AG134" s="34"/>
      <c r="AH134" s="34"/>
      <c r="AI134" s="34"/>
      <c r="AJ134" s="34"/>
      <c r="AL134" s="5">
        <f>MAX(I134,K134,M134,O134,Q134,S134,U134)</f>
        <v>0</v>
      </c>
      <c r="AM134" s="5">
        <f>MIN(I134,K134,M134,O134,Q134,S134,U134)</f>
        <v>0</v>
      </c>
      <c r="AN134" s="5"/>
      <c r="AO134" s="5"/>
      <c r="AP134" s="5"/>
      <c r="AQ134" s="5"/>
      <c r="AR134" s="5"/>
      <c r="AS134" s="13"/>
      <c r="AT134" s="5"/>
      <c r="AU134" s="5"/>
      <c r="AV134" s="5"/>
      <c r="AW134" s="5"/>
      <c r="AX134" s="5"/>
      <c r="AY134" s="5"/>
      <c r="AZ134" s="5"/>
      <c r="BA134" s="5"/>
      <c r="BB134" s="5"/>
      <c r="BD134" s="5"/>
      <c r="BE134" s="5"/>
      <c r="BF134" s="14"/>
      <c r="BG134" s="13"/>
      <c r="BH134" s="5"/>
      <c r="BI134" s="14"/>
      <c r="BJ134" s="13"/>
      <c r="BK134" s="5"/>
      <c r="BL134" s="14"/>
      <c r="BM134" s="13"/>
      <c r="BN134" s="5"/>
      <c r="BO134" s="14"/>
      <c r="BP134" s="13"/>
      <c r="BQ134" s="5"/>
      <c r="BR134" s="14"/>
      <c r="BS134" s="13"/>
      <c r="BT134" s="5"/>
      <c r="BU134" s="14"/>
      <c r="BV134" s="13"/>
      <c r="BW134" s="5"/>
      <c r="BX134" s="14"/>
      <c r="BY134" s="13"/>
      <c r="BZ134" s="5"/>
      <c r="CA134" s="14"/>
      <c r="CB134" s="13"/>
      <c r="CC134" s="5"/>
      <c r="CD134" s="14"/>
      <c r="CE134" s="13"/>
      <c r="CF134" s="5"/>
      <c r="CG134" s="14"/>
      <c r="CH134" s="13"/>
      <c r="CI134" s="5"/>
      <c r="CJ134" s="14"/>
      <c r="CK134" s="13"/>
      <c r="CL134" s="5"/>
      <c r="CM134" s="14"/>
      <c r="CN134" s="13"/>
      <c r="CO134" s="5"/>
      <c r="CP134" s="14"/>
      <c r="CQ134" s="13"/>
      <c r="CR134" s="5"/>
      <c r="CS134" s="14"/>
      <c r="CT134" s="13"/>
      <c r="CU134" s="5"/>
      <c r="CV134" s="14"/>
      <c r="CW134" s="13"/>
      <c r="CX134" s="5"/>
      <c r="CY134" s="14"/>
      <c r="CZ134" s="13"/>
      <c r="DA134" s="5"/>
      <c r="DB134" s="14"/>
      <c r="DC134" s="13"/>
      <c r="DD134" s="5"/>
      <c r="DE134" s="14"/>
      <c r="DF134" s="5"/>
      <c r="DG134" s="5"/>
      <c r="DH134" s="5"/>
    </row>
    <row r="135" spans="3:122" ht="11.25" customHeight="1" thickTop="1" x14ac:dyDescent="0.2">
      <c r="I135" s="50"/>
      <c r="J135" s="50">
        <f>L134-J134</f>
        <v>0</v>
      </c>
      <c r="K135" s="50"/>
      <c r="L135" s="50"/>
      <c r="M135" s="50"/>
      <c r="N135" s="50">
        <f>L134-N134</f>
        <v>0</v>
      </c>
      <c r="O135" s="50"/>
      <c r="P135" s="50">
        <f>L134-P134</f>
        <v>0</v>
      </c>
      <c r="Q135" s="50"/>
      <c r="R135" s="50">
        <f>L134-R134</f>
        <v>0</v>
      </c>
      <c r="S135" s="50"/>
      <c r="T135" s="50">
        <f>L134-T134</f>
        <v>0</v>
      </c>
      <c r="U135" s="50"/>
      <c r="V135" s="50">
        <f>L134-V134</f>
        <v>0</v>
      </c>
    </row>
    <row r="136" spans="3:122" ht="11.25" customHeight="1" x14ac:dyDescent="0.2">
      <c r="I136" s="139" t="str">
        <f>ß101</f>
        <v>Kropp</v>
      </c>
      <c r="J136" s="139"/>
      <c r="K136" s="139" t="str">
        <f>ß102</f>
        <v>Nörnberg</v>
      </c>
      <c r="L136" s="139"/>
      <c r="M136" s="139" t="str">
        <f>ß103</f>
        <v>Bübel</v>
      </c>
      <c r="N136" s="139"/>
      <c r="O136" s="139" t="str">
        <f>ß104</f>
        <v>Schwicht.</v>
      </c>
      <c r="P136" s="139"/>
      <c r="Q136" s="139" t="str">
        <f>ß105</f>
        <v>Rontzko.</v>
      </c>
      <c r="R136" s="139"/>
      <c r="S136" s="139" t="str">
        <f>ß106</f>
        <v>Hauschildt</v>
      </c>
      <c r="T136" s="139"/>
      <c r="U136" s="139" t="str">
        <f>ß107</f>
        <v>Zerres</v>
      </c>
      <c r="V136" s="139"/>
      <c r="AF136" s="11"/>
      <c r="AG136" s="11"/>
      <c r="AH136" s="11"/>
      <c r="AI136" s="11"/>
      <c r="AJ136" s="11"/>
      <c r="AL136" s="5" t="str">
        <f>IF($I149=$AL149,I136,"x")</f>
        <v>Kropp</v>
      </c>
      <c r="AM136" s="5" t="str">
        <f>IF($K149=$AL149,K136,"x")</f>
        <v>Nörnberg</v>
      </c>
      <c r="AN136" s="5" t="str">
        <f>IF($M149=$AL149,M136,"x")</f>
        <v>Bübel</v>
      </c>
      <c r="AO136" s="5" t="str">
        <f>IF($O149=$AL149,O136,"x")</f>
        <v>Schwicht.</v>
      </c>
      <c r="AP136" s="5" t="str">
        <f>IF($Q149=$AL149,Q136,"x")</f>
        <v>Rontzko.</v>
      </c>
      <c r="AQ136" s="5" t="str">
        <f>IF($S149=$AL149,S136,"x")</f>
        <v>Hauschildt</v>
      </c>
      <c r="AR136" s="5" t="str">
        <f>IF($U149=$AL149,U136,"x")</f>
        <v>Zerres</v>
      </c>
      <c r="AS136" s="13" t="str">
        <f>IF($I149=$AM149,I136,"x")</f>
        <v>Kropp</v>
      </c>
      <c r="AT136" s="5" t="str">
        <f>IF($K149=$AM149,K136,"x")</f>
        <v>Nörnberg</v>
      </c>
      <c r="AU136" s="5" t="str">
        <f>IF($M149=$AM149,M136,"x")</f>
        <v>Bübel</v>
      </c>
      <c r="AV136" s="5" t="str">
        <f>IF($O149=$AM149,O136,"x")</f>
        <v>Schwicht.</v>
      </c>
      <c r="AW136" s="5" t="str">
        <f>IF($Q149=$AM149,Q136,"x")</f>
        <v>Rontzko.</v>
      </c>
      <c r="AX136" s="5" t="str">
        <f>IF($S149=$AM149,S136,"x")</f>
        <v>Hauschildt</v>
      </c>
      <c r="AY136" s="5" t="str">
        <f>IF($U149=$AM149,U136,"x")</f>
        <v>Zerres</v>
      </c>
      <c r="BD136" s="140" t="str">
        <f>ß01</f>
        <v>Bayern</v>
      </c>
      <c r="BE136" s="140"/>
      <c r="BF136" s="140"/>
      <c r="BG136" s="141" t="str">
        <f>ß02</f>
        <v>Leipzig</v>
      </c>
      <c r="BH136" s="141"/>
      <c r="BI136" s="141"/>
      <c r="BJ136" s="141" t="str">
        <f>ß03</f>
        <v>Leverk.</v>
      </c>
      <c r="BK136" s="141"/>
      <c r="BL136" s="141"/>
      <c r="BM136" s="141" t="str">
        <f>ß04</f>
        <v>Hoffenheim</v>
      </c>
      <c r="BN136" s="141"/>
      <c r="BO136" s="141"/>
      <c r="BP136" s="141" t="str">
        <f>ß05</f>
        <v>Frankfurt</v>
      </c>
      <c r="BQ136" s="141"/>
      <c r="BR136" s="141"/>
      <c r="BS136" s="141" t="str">
        <f>ß06</f>
        <v>Werder</v>
      </c>
      <c r="BT136" s="141"/>
      <c r="BU136" s="141"/>
      <c r="BV136" s="141" t="str">
        <f>ß07</f>
        <v>Freiburg</v>
      </c>
      <c r="BW136" s="141"/>
      <c r="BX136" s="141"/>
      <c r="BY136" s="141" t="str">
        <f>ß08</f>
        <v>Augsburg</v>
      </c>
      <c r="BZ136" s="141"/>
      <c r="CA136" s="141"/>
      <c r="CB136" s="141" t="str">
        <f>ß09</f>
        <v>Mainz</v>
      </c>
      <c r="CC136" s="141"/>
      <c r="CD136" s="141"/>
      <c r="CE136" s="141" t="str">
        <f>ß10</f>
        <v>Köln</v>
      </c>
      <c r="CF136" s="141"/>
      <c r="CG136" s="141"/>
      <c r="CH136" s="141" t="str">
        <f>ß11</f>
        <v>M'gladb.</v>
      </c>
      <c r="CI136" s="141"/>
      <c r="CJ136" s="141"/>
      <c r="CK136" s="141" t="str">
        <f>ß12</f>
        <v>HSV</v>
      </c>
      <c r="CL136" s="141"/>
      <c r="CM136" s="141"/>
      <c r="CN136" s="141" t="str">
        <f>ß13</f>
        <v>Union</v>
      </c>
      <c r="CO136" s="141"/>
      <c r="CP136" s="141"/>
      <c r="CQ136" s="141" t="str">
        <f>ß14</f>
        <v>Stuttgart</v>
      </c>
      <c r="CR136" s="141"/>
      <c r="CS136" s="141"/>
      <c r="CT136" s="141" t="str">
        <f>ß15</f>
        <v>St. Pauli</v>
      </c>
      <c r="CU136" s="141"/>
      <c r="CV136" s="141"/>
      <c r="CW136" s="141" t="str">
        <f>ß16</f>
        <v>Dortmund</v>
      </c>
      <c r="CX136" s="141"/>
      <c r="CY136" s="141"/>
      <c r="CZ136" s="141" t="str">
        <f>ß17</f>
        <v>Heidenheim</v>
      </c>
      <c r="DA136" s="141"/>
      <c r="DB136" s="141"/>
      <c r="DC136" s="141" t="str">
        <f>ß18</f>
        <v>Wolfsburg</v>
      </c>
      <c r="DD136" s="141"/>
      <c r="DE136" s="141"/>
    </row>
    <row r="137" spans="3:122" ht="11.25" customHeight="1" x14ac:dyDescent="0.2">
      <c r="C137" s="16" t="str">
        <f>Mannschaften!F10</f>
        <v>10. Spieltag</v>
      </c>
      <c r="D137" s="11"/>
      <c r="E137" s="17" t="str">
        <f>Mannschaften!G10</f>
        <v>7.-9.11.25</v>
      </c>
      <c r="I137" s="19">
        <f>RANK(Rang!A10,Rang!A10:G10)</f>
        <v>1</v>
      </c>
      <c r="J137" s="20">
        <f>RANK(Rang!H10,Rang!H10:N10)</f>
        <v>1</v>
      </c>
      <c r="K137" s="19">
        <f>RANK(Rang!B10,Rang!A10:G10)</f>
        <v>1</v>
      </c>
      <c r="L137" s="20">
        <f>RANK(Rang!I10,Rang!H10:N10)</f>
        <v>1</v>
      </c>
      <c r="M137" s="19">
        <f>RANK(Rang!C10,Rang!A10:G10)</f>
        <v>1</v>
      </c>
      <c r="N137" s="20">
        <f>RANK(Rang!J10,Rang!H10:N10)</f>
        <v>1</v>
      </c>
      <c r="O137" s="19">
        <f>RANK(Rang!D10,Rang!A10:G10)</f>
        <v>1</v>
      </c>
      <c r="P137" s="20">
        <f>RANK(Rang!K10,Rang!H10:N10)</f>
        <v>1</v>
      </c>
      <c r="Q137" s="19">
        <f>RANK(Rang!E10,Rang!A10:G10)</f>
        <v>1</v>
      </c>
      <c r="R137" s="20">
        <f>RANK(Rang!L10,Rang!H10:N10)</f>
        <v>1</v>
      </c>
      <c r="S137" s="19">
        <f>RANK(Rang!F10,Rang!A10:G10)</f>
        <v>1</v>
      </c>
      <c r="T137" s="20">
        <f>RANK(Rang!M10,Rang!H10:N10)</f>
        <v>1</v>
      </c>
      <c r="U137" s="19">
        <f>RANK(Rang!G10,Rang!A10:G10)</f>
        <v>1</v>
      </c>
      <c r="V137" s="20">
        <f>RANK(Rang!N10,Rang!H10:N10)</f>
        <v>1</v>
      </c>
      <c r="AF137" s="22"/>
      <c r="AG137" s="22"/>
      <c r="AH137" s="22"/>
      <c r="AI137" s="22"/>
      <c r="AJ137" s="22"/>
      <c r="AK137" s="21"/>
      <c r="AL137" s="21"/>
      <c r="AM137" s="21"/>
      <c r="AN137" s="21"/>
      <c r="AO137" s="21"/>
      <c r="AP137" s="21"/>
      <c r="AQ137" s="21"/>
      <c r="AR137" s="21"/>
      <c r="AS137" s="24"/>
      <c r="AT137" s="21"/>
      <c r="AU137" s="21"/>
      <c r="AV137" s="21"/>
      <c r="AW137" s="21"/>
      <c r="AX137" s="21"/>
      <c r="AY137" s="21"/>
      <c r="AZ137" s="21"/>
      <c r="BA137" s="21"/>
      <c r="BB137" s="21"/>
      <c r="BD137" s="25" t="s">
        <v>4</v>
      </c>
      <c r="BE137" s="25" t="s">
        <v>5</v>
      </c>
      <c r="BF137" s="26" t="s">
        <v>6</v>
      </c>
      <c r="BG137" s="27" t="s">
        <v>4</v>
      </c>
      <c r="BH137" s="25" t="s">
        <v>5</v>
      </c>
      <c r="BI137" s="26" t="s">
        <v>6</v>
      </c>
      <c r="BJ137" s="27" t="s">
        <v>4</v>
      </c>
      <c r="BK137" s="25" t="s">
        <v>5</v>
      </c>
      <c r="BL137" s="26" t="s">
        <v>6</v>
      </c>
      <c r="BM137" s="27" t="s">
        <v>4</v>
      </c>
      <c r="BN137" s="25" t="s">
        <v>5</v>
      </c>
      <c r="BO137" s="26" t="s">
        <v>6</v>
      </c>
      <c r="BP137" s="27" t="s">
        <v>4</v>
      </c>
      <c r="BQ137" s="25" t="s">
        <v>5</v>
      </c>
      <c r="BR137" s="26" t="s">
        <v>6</v>
      </c>
      <c r="BS137" s="27" t="s">
        <v>4</v>
      </c>
      <c r="BT137" s="25" t="s">
        <v>5</v>
      </c>
      <c r="BU137" s="26" t="s">
        <v>6</v>
      </c>
      <c r="BV137" s="27" t="s">
        <v>4</v>
      </c>
      <c r="BW137" s="25" t="s">
        <v>5</v>
      </c>
      <c r="BX137" s="26" t="s">
        <v>6</v>
      </c>
      <c r="BY137" s="27" t="s">
        <v>4</v>
      </c>
      <c r="BZ137" s="25" t="s">
        <v>5</v>
      </c>
      <c r="CA137" s="26" t="s">
        <v>6</v>
      </c>
      <c r="CB137" s="27" t="s">
        <v>4</v>
      </c>
      <c r="CC137" s="25" t="s">
        <v>5</v>
      </c>
      <c r="CD137" s="26" t="s">
        <v>6</v>
      </c>
      <c r="CE137" s="27" t="s">
        <v>4</v>
      </c>
      <c r="CF137" s="25" t="s">
        <v>5</v>
      </c>
      <c r="CG137" s="26" t="s">
        <v>6</v>
      </c>
      <c r="CH137" s="27" t="s">
        <v>4</v>
      </c>
      <c r="CI137" s="25" t="s">
        <v>5</v>
      </c>
      <c r="CJ137" s="26" t="s">
        <v>6</v>
      </c>
      <c r="CK137" s="27" t="s">
        <v>4</v>
      </c>
      <c r="CL137" s="25" t="s">
        <v>5</v>
      </c>
      <c r="CM137" s="26" t="s">
        <v>6</v>
      </c>
      <c r="CN137" s="27" t="s">
        <v>4</v>
      </c>
      <c r="CO137" s="25" t="s">
        <v>5</v>
      </c>
      <c r="CP137" s="26" t="s">
        <v>6</v>
      </c>
      <c r="CQ137" s="27" t="s">
        <v>4</v>
      </c>
      <c r="CR137" s="25" t="s">
        <v>5</v>
      </c>
      <c r="CS137" s="26" t="s">
        <v>6</v>
      </c>
      <c r="CT137" s="27" t="s">
        <v>4</v>
      </c>
      <c r="CU137" s="25" t="s">
        <v>5</v>
      </c>
      <c r="CV137" s="26" t="s">
        <v>6</v>
      </c>
      <c r="CW137" s="27" t="s">
        <v>4</v>
      </c>
      <c r="CX137" s="25" t="s">
        <v>5</v>
      </c>
      <c r="CY137" s="26" t="s">
        <v>6</v>
      </c>
      <c r="CZ137" s="27" t="s">
        <v>4</v>
      </c>
      <c r="DA137" s="25" t="s">
        <v>5</v>
      </c>
      <c r="DB137" s="26" t="s">
        <v>6</v>
      </c>
      <c r="DC137" s="27" t="s">
        <v>4</v>
      </c>
      <c r="DD137" s="25" t="s">
        <v>5</v>
      </c>
      <c r="DE137" s="26" t="s">
        <v>6</v>
      </c>
      <c r="DF137" s="21"/>
      <c r="DG137" s="21"/>
      <c r="DH137" s="21"/>
      <c r="DN137" s="136" t="s">
        <v>7</v>
      </c>
      <c r="DO137" s="136"/>
      <c r="DP137" s="136" t="s">
        <v>8</v>
      </c>
      <c r="DQ137" s="136"/>
      <c r="DR137" s="28"/>
    </row>
    <row r="138" spans="3:122" ht="11.25" customHeight="1" x14ac:dyDescent="0.2">
      <c r="C138" s="2" t="str">
        <f>ß03</f>
        <v>Leverk.</v>
      </c>
      <c r="D138" s="3" t="s">
        <v>11</v>
      </c>
      <c r="E138" s="2" t="str">
        <f>ß17</f>
        <v>Heidenheim</v>
      </c>
      <c r="F138" s="29"/>
      <c r="G138" s="3" t="s">
        <v>12</v>
      </c>
      <c r="H138" s="30"/>
      <c r="I138" s="31"/>
      <c r="J138" s="32" t="str">
        <f t="shared" ref="J138:J146" si="131">IF($F138="","",(IF(I138="","",IF(I138=$DG138,(VLOOKUP($DH138,$DJ$3:$DK$11,2,FALSE())),0))))</f>
        <v/>
      </c>
      <c r="K138" s="31"/>
      <c r="L138" s="32" t="str">
        <f t="shared" ref="L138:L146" si="132">IF($F138="","",(IF(K138="","",IF(K138=$DG138,(VLOOKUP($DH138,$DJ$3:$DK$11,2,FALSE())),0))))</f>
        <v/>
      </c>
      <c r="M138" s="31"/>
      <c r="N138" s="32" t="str">
        <f t="shared" ref="N138:N146" si="133">IF($F138="","",(IF(M138="","",IF(M138=$DG138,(VLOOKUP($DH138,$DJ$3:$DK$11,2,FALSE())),0))))</f>
        <v/>
      </c>
      <c r="O138" s="31"/>
      <c r="P138" s="32" t="str">
        <f t="shared" ref="P138:P146" si="134">IF($F138="","",(IF(O138="","",IF(O138=$DG138,(VLOOKUP($DH138,$DJ$3:$DK$11,2,FALSE())),0))))</f>
        <v/>
      </c>
      <c r="Q138" s="31"/>
      <c r="R138" s="32" t="str">
        <f t="shared" ref="R138:R146" si="135">IF($F138="","",(IF(Q138="","",IF(Q138=$DG138,(VLOOKUP($DH138,$DJ$3:$DK$11,2,FALSE())),0))))</f>
        <v/>
      </c>
      <c r="S138" s="31"/>
      <c r="T138" s="32" t="str">
        <f t="shared" ref="T138:T146" si="136">IF($F138="","",(IF(S138="","",IF(S138=$DG138,(VLOOKUP($DH138,$DJ$3:$DK$11,2,FALSE())),0))))</f>
        <v/>
      </c>
      <c r="U138" s="31"/>
      <c r="V138" s="32" t="str">
        <f t="shared" ref="V138:V146" si="137">IF($F138="","",(IF(U138="","",IF(U138=$DG138,(VLOOKUP($DH138,$DJ$3:$DK$11,2,FALSE())),0))))</f>
        <v/>
      </c>
      <c r="AF138" s="34"/>
      <c r="AG138" s="34"/>
      <c r="AH138" s="34"/>
      <c r="AI138" s="34"/>
      <c r="AJ138" s="34"/>
      <c r="AN138" s="5"/>
      <c r="AO138" s="5"/>
      <c r="AP138" s="5"/>
      <c r="AQ138" s="5"/>
      <c r="AR138" s="5"/>
      <c r="AS138" s="13"/>
      <c r="AT138" s="5"/>
      <c r="AU138" s="5"/>
      <c r="AV138" s="5"/>
      <c r="AW138" s="5"/>
      <c r="AX138" s="5"/>
      <c r="AY138" s="5"/>
      <c r="BC138" s="6">
        <v>137</v>
      </c>
      <c r="BD138" s="35" t="str">
        <f>IF(ISERROR(MATCH(ß01,$C138:$C146,0)),"",MATCH(ß01,$C138:$C146,0))</f>
        <v/>
      </c>
      <c r="BE138" s="35">
        <f>IF(ISERROR(MATCH(ß01,$E138:$E146,0)),"",MATCH(ß01,$E138:$E146,0))</f>
        <v>7</v>
      </c>
      <c r="BF138" s="15">
        <f>SUM(BD138:BE138)+BC138</f>
        <v>144</v>
      </c>
      <c r="BG138" s="36" t="str">
        <f>IF(ISERROR(MATCH(ß02,$C138:$C146,0)),"",MATCH(ß02,$C138:$C146,0))</f>
        <v/>
      </c>
      <c r="BH138" s="35">
        <f>IF(ISERROR(MATCH(ß02,$E138:$E146,0)),"",MATCH(ß02,$E138:$E146,0))</f>
        <v>8</v>
      </c>
      <c r="BI138" s="15">
        <f>SUM(BG138:BH138)+BC138</f>
        <v>145</v>
      </c>
      <c r="BJ138" s="36">
        <f>IF(ISERROR(MATCH(ß03,$C138:$C146,0)),"",MATCH(ß03,$C138:$C146,0))</f>
        <v>1</v>
      </c>
      <c r="BK138" s="35" t="str">
        <f>IF(ISERROR(MATCH(ß03,$E138:$E146,0)),"",MATCH(ß03,$E138:$E146,0))</f>
        <v/>
      </c>
      <c r="BL138" s="15">
        <f>SUM(BJ138:BK138)+BC138</f>
        <v>138</v>
      </c>
      <c r="BM138" s="36">
        <f>IF(ISERROR(MATCH(ß04,$C138:$C146,0)),"",MATCH(ß04,$C138:$C146,0))</f>
        <v>8</v>
      </c>
      <c r="BN138" s="35" t="str">
        <f>IF(ISERROR(MATCH(ß04,$E138:$E146,0)),"",MATCH(ß04,$E138:$E146,0))</f>
        <v/>
      </c>
      <c r="BO138" s="15">
        <f>SUM(BM138:BN138)+BC138</f>
        <v>145</v>
      </c>
      <c r="BP138" s="36">
        <f>IF(ISERROR(MATCH(ß05,$C138:$C146,0)),"",MATCH(ß05,$C138:$C146,0))</f>
        <v>2</v>
      </c>
      <c r="BQ138" s="35" t="str">
        <f>IF(ISERROR(MATCH(ß05,$E138:$E146,0)),"",MATCH(ß05,$E138:$E146,0))</f>
        <v/>
      </c>
      <c r="BR138" s="15">
        <f>SUM(BP138:BQ138)+BC138</f>
        <v>139</v>
      </c>
      <c r="BS138" s="36">
        <f>IF(ISERROR(MATCH(ß06,$C138:$C146,0)),"",MATCH(ß06,$C138:$C146,0))</f>
        <v>4</v>
      </c>
      <c r="BT138" s="35" t="str">
        <f>IF(ISERROR(MATCH(ß06,$E138:$E146,0)),"",MATCH(ß06,$E138:$E146,0))</f>
        <v/>
      </c>
      <c r="BU138" s="15">
        <f>SUM(BS138:BT138)+BC138</f>
        <v>141</v>
      </c>
      <c r="BV138" s="36">
        <f>IF(ISERROR(MATCH(ß07,$C138:$C146,0)),"",MATCH(ß07,$C138:$C146,0))</f>
        <v>3</v>
      </c>
      <c r="BW138" s="35" t="str">
        <f>IF(ISERROR(MATCH(ß07,$E138:$E146,0)),"",MATCH(ß07,$E138:$E146,0))</f>
        <v/>
      </c>
      <c r="BX138" s="15">
        <f>SUM(BV138:BW138)+BC138</f>
        <v>140</v>
      </c>
      <c r="BY138" s="36" t="str">
        <f>IF(ISERROR(MATCH(ß08,$C138:$C146,0)),"",MATCH(ß08,$C138:$C146,0))</f>
        <v/>
      </c>
      <c r="BZ138" s="35">
        <f>IF(ISERROR(MATCH(ß08,$E138:$E146,0)),"",MATCH(ß08,$E138:$E146,0))</f>
        <v>5</v>
      </c>
      <c r="CA138" s="15">
        <f>SUM(BY138:BZ138)+BC138</f>
        <v>142</v>
      </c>
      <c r="CB138" s="36" t="str">
        <f>IF(ISERROR(MATCH(ß09,$C138:$C146,0)),"",MATCH(ß09,$C138:$C146,0))</f>
        <v/>
      </c>
      <c r="CC138" s="35">
        <f>IF(ISERROR(MATCH(ß09,$E138:$E146,0)),"",MATCH(ß09,$E138:$E146,0))</f>
        <v>2</v>
      </c>
      <c r="CD138" s="15">
        <f>SUM(CB138:CC138)+BC138</f>
        <v>139</v>
      </c>
      <c r="CE138" s="36" t="str">
        <f>IF(ISERROR(MATCH(ß10,$C138:$C146,0)),"",MATCH(ß10,$C138:$C146,0))</f>
        <v/>
      </c>
      <c r="CF138" s="35">
        <f>IF(ISERROR(MATCH(ß10,$E138:$E146,0)),"",MATCH(ß10,$E138:$E146,0))</f>
        <v>6</v>
      </c>
      <c r="CG138" s="15">
        <f>SUM(CE138:CF138)+BC138</f>
        <v>143</v>
      </c>
      <c r="CH138" s="36">
        <f>IF(ISERROR(MATCH(ß11,$C138:$C146,0)),"",MATCH(ß11,$C138:$C146,0))</f>
        <v>6</v>
      </c>
      <c r="CI138" s="35" t="str">
        <f>IF(ISERROR(MATCH(ß11,$E138:$E146,0)),"",MATCH(ß11,$E138:$E146,0))</f>
        <v/>
      </c>
      <c r="CJ138" s="15">
        <f>SUM(CH138:CI138)+BC138</f>
        <v>143</v>
      </c>
      <c r="CK138" s="36">
        <f>IF(ISERROR(MATCH(ß12,$C138:$C146,0)),"",MATCH(ß12,$C138:$C146,0))</f>
        <v>9</v>
      </c>
      <c r="CL138" s="35" t="str">
        <f>IF(ISERROR(MATCH(ß12,$E138:$E146,0)),"",MATCH(ß12,$E138:$E146,0))</f>
        <v/>
      </c>
      <c r="CM138" s="15">
        <f>SUM(CK138:CL138)+BC138</f>
        <v>146</v>
      </c>
      <c r="CN138" s="36">
        <f>IF(ISERROR(MATCH(ß13,$C138:$C146,0)),"",MATCH(ß13,$C138:$C146,0))</f>
        <v>7</v>
      </c>
      <c r="CO138" s="35" t="str">
        <f>IF(ISERROR(MATCH(ß13,$E138:$E146,0)),"",MATCH(ß13,$E138:$E146,0))</f>
        <v/>
      </c>
      <c r="CP138" s="15">
        <f>SUM(CN138:CO138)+BC138</f>
        <v>144</v>
      </c>
      <c r="CQ138" s="36">
        <f>IF(ISERROR(MATCH(ß14,$C138:$C146,0)),"",MATCH(ß14,$C138:$C146,0))</f>
        <v>5</v>
      </c>
      <c r="CR138" s="35" t="str">
        <f>IF(ISERROR(MATCH(ß14,$E138:$E146,0)),"",MATCH(ß14,$E138:$E146,0))</f>
        <v/>
      </c>
      <c r="CS138" s="15">
        <f>SUM(CQ138:CR138)+BC138</f>
        <v>142</v>
      </c>
      <c r="CT138" s="36" t="str">
        <f>IF(ISERROR(MATCH(ß15,$C138:$C146,0)),"",MATCH(ß15,$C138:$C146,0))</f>
        <v/>
      </c>
      <c r="CU138" s="35">
        <f>IF(ISERROR(MATCH(ß15,$E138:$E146,0)),"",MATCH(ß15,$E138:$E146,0))</f>
        <v>3</v>
      </c>
      <c r="CV138" s="15">
        <f>SUM(CT138:CU138)+BC138</f>
        <v>140</v>
      </c>
      <c r="CW138" s="36" t="str">
        <f>IF(ISERROR(MATCH(ß16,$C138:$C146,0)),"",MATCH(ß16,$C138:$C146,0))</f>
        <v/>
      </c>
      <c r="CX138" s="35">
        <f>IF(ISERROR(MATCH(ß16,$E138:$E146,0)),"",MATCH(ß16,$E138:$E146,0))</f>
        <v>9</v>
      </c>
      <c r="CY138" s="15">
        <f>SUM(CW138:CX138)+BC138</f>
        <v>146</v>
      </c>
      <c r="CZ138" s="36" t="str">
        <f>IF(ISERROR(MATCH(ß17,$C138:$C146,0)),"",MATCH(ß17,$C138:$C146,0))</f>
        <v/>
      </c>
      <c r="DA138" s="35">
        <f>IF(ISERROR(MATCH(ß17,$E138:$E146,0)),"",MATCH(ß17,$E138:$E146,0))</f>
        <v>1</v>
      </c>
      <c r="DB138" s="15">
        <f>SUM(CZ138:DA138)+BC138</f>
        <v>138</v>
      </c>
      <c r="DC138" s="36" t="str">
        <f>IF(ISERROR(MATCH(ß18,$C138:$C146,0)),"",MATCH(ß18,$C138:$C146,0))</f>
        <v/>
      </c>
      <c r="DD138" s="35">
        <f>IF(ISERROR(MATCH(ß18,$E138:$E146,0)),"",MATCH(ß18,$E138:$E146,0))</f>
        <v>4</v>
      </c>
      <c r="DE138" s="15">
        <f>SUM(DC138:DD138)+BC138</f>
        <v>141</v>
      </c>
      <c r="DG138" s="8" t="str">
        <f t="shared" ref="DG138:DG146" si="138">IF(F138="","",(IF(F138=H138,0,IF(F138&gt;H138,1,IF(F138&lt;H138,2)))))</f>
        <v/>
      </c>
      <c r="DH138" s="3">
        <f>COUNTIF(I138,DG138)+COUNTIF(K138,DG138)+COUNTIF(M138,DG138)+COUNTIF(O138,DG138)+COUNTIF(Q138,DG138)+COUNTIF(S138,DG138)+COUNTIF(U138,DG138)</f>
        <v>7</v>
      </c>
      <c r="DN138" s="12">
        <f t="shared" ref="DN138:DN146" si="139">F138</f>
        <v>0</v>
      </c>
      <c r="DO138" s="5">
        <f t="shared" ref="DO138:DO146" si="140">H138</f>
        <v>0</v>
      </c>
      <c r="DP138" s="5" t="str">
        <f t="shared" ref="DP138:DP146" si="141">IF($F138="","",IF(DN138&gt;DO138,3,IF(DN138&lt;DO138,0,1)))</f>
        <v/>
      </c>
      <c r="DQ138" s="5" t="str">
        <f t="shared" ref="DQ138:DQ146" si="142">IF($H138="","",IF(DO138&gt;DN138,3,IF(DO138&lt;DN138,0,1)))</f>
        <v/>
      </c>
      <c r="DR138" s="5">
        <f t="shared" ref="DR138:DR146" si="143">IF(ISBLANK(F138),0,1)</f>
        <v>0</v>
      </c>
    </row>
    <row r="139" spans="3:122" ht="11.25" customHeight="1" x14ac:dyDescent="0.2">
      <c r="C139" s="2" t="str">
        <f>ß05</f>
        <v>Frankfurt</v>
      </c>
      <c r="D139" s="3" t="s">
        <v>11</v>
      </c>
      <c r="E139" s="2" t="str">
        <f>ß09</f>
        <v>Mainz</v>
      </c>
      <c r="F139" s="29"/>
      <c r="G139" s="3" t="s">
        <v>12</v>
      </c>
      <c r="H139" s="30"/>
      <c r="I139" s="37"/>
      <c r="J139" s="38" t="str">
        <f t="shared" si="131"/>
        <v/>
      </c>
      <c r="K139" s="37"/>
      <c r="L139" s="38" t="str">
        <f t="shared" si="132"/>
        <v/>
      </c>
      <c r="M139" s="37"/>
      <c r="N139" s="38" t="str">
        <f t="shared" si="133"/>
        <v/>
      </c>
      <c r="O139" s="37"/>
      <c r="P139" s="38" t="str">
        <f t="shared" si="134"/>
        <v/>
      </c>
      <c r="Q139" s="37"/>
      <c r="R139" s="38" t="str">
        <f t="shared" si="135"/>
        <v/>
      </c>
      <c r="S139" s="37"/>
      <c r="T139" s="38" t="str">
        <f t="shared" si="136"/>
        <v/>
      </c>
      <c r="U139" s="33"/>
      <c r="V139" s="38" t="str">
        <f t="shared" si="137"/>
        <v/>
      </c>
      <c r="AF139" s="34"/>
      <c r="AG139" s="34"/>
      <c r="AH139" s="34"/>
      <c r="AI139" s="34"/>
      <c r="AJ139" s="34"/>
      <c r="DG139" s="8" t="str">
        <f t="shared" si="138"/>
        <v/>
      </c>
      <c r="DH139" s="3">
        <f t="shared" ref="DH139:DH146" si="144">COUNTIF(I139,DG139)+COUNTIF(K139,DG139)+COUNTIF(M139,DG139)+COUNTIF(O139,DG139)+COUNTIF(Q139,DG139)+COUNTIF(S139,DG139)+COUNTIF(U139,DG139)</f>
        <v>7</v>
      </c>
      <c r="DN139" s="12">
        <f t="shared" si="139"/>
        <v>0</v>
      </c>
      <c r="DO139" s="5">
        <f t="shared" si="140"/>
        <v>0</v>
      </c>
      <c r="DP139" s="5" t="str">
        <f t="shared" si="141"/>
        <v/>
      </c>
      <c r="DQ139" s="5" t="str">
        <f t="shared" si="142"/>
        <v/>
      </c>
      <c r="DR139" s="5">
        <f t="shared" si="143"/>
        <v>0</v>
      </c>
    </row>
    <row r="140" spans="3:122" ht="11.25" customHeight="1" x14ac:dyDescent="0.2">
      <c r="C140" s="2" t="str">
        <f>ß07</f>
        <v>Freiburg</v>
      </c>
      <c r="D140" s="3" t="s">
        <v>11</v>
      </c>
      <c r="E140" s="2" t="str">
        <f>ß15</f>
        <v>St. Pauli</v>
      </c>
      <c r="F140" s="29"/>
      <c r="G140" s="3" t="s">
        <v>12</v>
      </c>
      <c r="H140" s="30"/>
      <c r="I140" s="37"/>
      <c r="J140" s="38" t="str">
        <f t="shared" si="131"/>
        <v/>
      </c>
      <c r="K140" s="37"/>
      <c r="L140" s="38" t="str">
        <f t="shared" si="132"/>
        <v/>
      </c>
      <c r="M140" s="37"/>
      <c r="N140" s="38" t="str">
        <f t="shared" si="133"/>
        <v/>
      </c>
      <c r="O140" s="37"/>
      <c r="P140" s="38" t="str">
        <f t="shared" si="134"/>
        <v/>
      </c>
      <c r="Q140" s="37"/>
      <c r="R140" s="38" t="str">
        <f t="shared" si="135"/>
        <v/>
      </c>
      <c r="S140" s="37"/>
      <c r="T140" s="38" t="str">
        <f t="shared" si="136"/>
        <v/>
      </c>
      <c r="U140" s="33"/>
      <c r="V140" s="38" t="str">
        <f t="shared" si="137"/>
        <v/>
      </c>
      <c r="AF140" s="34"/>
      <c r="AG140" s="34"/>
      <c r="AH140" s="34"/>
      <c r="AI140" s="34"/>
      <c r="AJ140" s="34"/>
      <c r="DG140" s="8" t="str">
        <f t="shared" si="138"/>
        <v/>
      </c>
      <c r="DH140" s="3">
        <f t="shared" si="144"/>
        <v>7</v>
      </c>
      <c r="DN140" s="12">
        <f t="shared" si="139"/>
        <v>0</v>
      </c>
      <c r="DO140" s="5">
        <f t="shared" si="140"/>
        <v>0</v>
      </c>
      <c r="DP140" s="5" t="str">
        <f t="shared" si="141"/>
        <v/>
      </c>
      <c r="DQ140" s="5" t="str">
        <f t="shared" si="142"/>
        <v/>
      </c>
      <c r="DR140" s="5">
        <f t="shared" si="143"/>
        <v>0</v>
      </c>
    </row>
    <row r="141" spans="3:122" ht="11.25" customHeight="1" x14ac:dyDescent="0.2">
      <c r="C141" s="2" t="str">
        <f>ß06</f>
        <v>Werder</v>
      </c>
      <c r="D141" s="3" t="s">
        <v>11</v>
      </c>
      <c r="E141" s="2" t="str">
        <f>ß18</f>
        <v>Wolfsburg</v>
      </c>
      <c r="F141" s="29"/>
      <c r="G141" s="3" t="s">
        <v>12</v>
      </c>
      <c r="H141" s="30"/>
      <c r="I141" s="37"/>
      <c r="J141" s="38" t="str">
        <f t="shared" si="131"/>
        <v/>
      </c>
      <c r="K141" s="37"/>
      <c r="L141" s="38" t="str">
        <f t="shared" si="132"/>
        <v/>
      </c>
      <c r="M141" s="37"/>
      <c r="N141" s="38" t="str">
        <f t="shared" si="133"/>
        <v/>
      </c>
      <c r="O141" s="37"/>
      <c r="P141" s="38" t="str">
        <f t="shared" si="134"/>
        <v/>
      </c>
      <c r="Q141" s="37"/>
      <c r="R141" s="38" t="str">
        <f t="shared" si="135"/>
        <v/>
      </c>
      <c r="S141" s="37"/>
      <c r="T141" s="38" t="str">
        <f t="shared" si="136"/>
        <v/>
      </c>
      <c r="U141" s="33"/>
      <c r="V141" s="38" t="str">
        <f t="shared" si="137"/>
        <v/>
      </c>
      <c r="AF141" s="34"/>
      <c r="AG141" s="34"/>
      <c r="AH141" s="34"/>
      <c r="AI141" s="34"/>
      <c r="AJ141" s="34"/>
      <c r="DG141" s="8" t="str">
        <f t="shared" si="138"/>
        <v/>
      </c>
      <c r="DH141" s="3">
        <f t="shared" si="144"/>
        <v>7</v>
      </c>
      <c r="DN141" s="12">
        <f t="shared" si="139"/>
        <v>0</v>
      </c>
      <c r="DO141" s="5">
        <f t="shared" si="140"/>
        <v>0</v>
      </c>
      <c r="DP141" s="5" t="str">
        <f t="shared" si="141"/>
        <v/>
      </c>
      <c r="DQ141" s="5" t="str">
        <f t="shared" si="142"/>
        <v/>
      </c>
      <c r="DR141" s="5">
        <f t="shared" si="143"/>
        <v>0</v>
      </c>
    </row>
    <row r="142" spans="3:122" ht="11.25" customHeight="1" x14ac:dyDescent="0.2">
      <c r="C142" s="2" t="str">
        <f>ß14</f>
        <v>Stuttgart</v>
      </c>
      <c r="D142" s="3" t="s">
        <v>11</v>
      </c>
      <c r="E142" s="2" t="str">
        <f>ß08</f>
        <v>Augsburg</v>
      </c>
      <c r="F142" s="29"/>
      <c r="G142" s="3" t="s">
        <v>12</v>
      </c>
      <c r="H142" s="30"/>
      <c r="I142" s="37"/>
      <c r="J142" s="38" t="str">
        <f t="shared" si="131"/>
        <v/>
      </c>
      <c r="K142" s="37"/>
      <c r="L142" s="38" t="str">
        <f t="shared" si="132"/>
        <v/>
      </c>
      <c r="M142" s="37"/>
      <c r="N142" s="38" t="str">
        <f t="shared" si="133"/>
        <v/>
      </c>
      <c r="O142" s="37"/>
      <c r="P142" s="38" t="str">
        <f t="shared" si="134"/>
        <v/>
      </c>
      <c r="Q142" s="37"/>
      <c r="R142" s="38" t="str">
        <f t="shared" si="135"/>
        <v/>
      </c>
      <c r="S142" s="37"/>
      <c r="T142" s="38" t="str">
        <f t="shared" si="136"/>
        <v/>
      </c>
      <c r="U142" s="33"/>
      <c r="V142" s="38" t="str">
        <f t="shared" si="137"/>
        <v/>
      </c>
      <c r="AF142" s="34"/>
      <c r="AG142" s="34"/>
      <c r="AH142" s="34"/>
      <c r="AI142" s="34"/>
      <c r="AJ142" s="34"/>
      <c r="DG142" s="8" t="str">
        <f t="shared" si="138"/>
        <v/>
      </c>
      <c r="DH142" s="3">
        <f t="shared" si="144"/>
        <v>7</v>
      </c>
      <c r="DN142" s="12">
        <f t="shared" si="139"/>
        <v>0</v>
      </c>
      <c r="DO142" s="5">
        <f t="shared" si="140"/>
        <v>0</v>
      </c>
      <c r="DP142" s="5" t="str">
        <f t="shared" si="141"/>
        <v/>
      </c>
      <c r="DQ142" s="5" t="str">
        <f t="shared" si="142"/>
        <v/>
      </c>
      <c r="DR142" s="5">
        <f t="shared" si="143"/>
        <v>0</v>
      </c>
    </row>
    <row r="143" spans="3:122" ht="11.25" customHeight="1" x14ac:dyDescent="0.2">
      <c r="C143" s="2" t="str">
        <f>ß11</f>
        <v>M'gladb.</v>
      </c>
      <c r="D143" s="3" t="s">
        <v>11</v>
      </c>
      <c r="E143" s="2" t="str">
        <f>ß10</f>
        <v>Köln</v>
      </c>
      <c r="F143" s="29"/>
      <c r="G143" s="3" t="s">
        <v>12</v>
      </c>
      <c r="H143" s="30"/>
      <c r="I143" s="37"/>
      <c r="J143" s="38" t="str">
        <f t="shared" si="131"/>
        <v/>
      </c>
      <c r="K143" s="37"/>
      <c r="L143" s="38" t="str">
        <f t="shared" si="132"/>
        <v/>
      </c>
      <c r="M143" s="37"/>
      <c r="N143" s="38" t="str">
        <f t="shared" si="133"/>
        <v/>
      </c>
      <c r="O143" s="37"/>
      <c r="P143" s="38" t="str">
        <f t="shared" si="134"/>
        <v/>
      </c>
      <c r="Q143" s="37"/>
      <c r="R143" s="38" t="str">
        <f t="shared" si="135"/>
        <v/>
      </c>
      <c r="S143" s="37"/>
      <c r="T143" s="38" t="str">
        <f t="shared" si="136"/>
        <v/>
      </c>
      <c r="U143" s="33"/>
      <c r="V143" s="38" t="str">
        <f t="shared" si="137"/>
        <v/>
      </c>
      <c r="AF143" s="34"/>
      <c r="AG143" s="34"/>
      <c r="AH143" s="34"/>
      <c r="AI143" s="34"/>
      <c r="AJ143" s="34"/>
      <c r="DG143" s="8" t="str">
        <f t="shared" si="138"/>
        <v/>
      </c>
      <c r="DH143" s="3">
        <f t="shared" si="144"/>
        <v>7</v>
      </c>
      <c r="DN143" s="12">
        <f t="shared" si="139"/>
        <v>0</v>
      </c>
      <c r="DO143" s="5">
        <f t="shared" si="140"/>
        <v>0</v>
      </c>
      <c r="DP143" s="5" t="str">
        <f t="shared" si="141"/>
        <v/>
      </c>
      <c r="DQ143" s="5" t="str">
        <f t="shared" si="142"/>
        <v/>
      </c>
      <c r="DR143" s="5">
        <f t="shared" si="143"/>
        <v>0</v>
      </c>
    </row>
    <row r="144" spans="3:122" ht="11.25" customHeight="1" x14ac:dyDescent="0.2">
      <c r="C144" s="2" t="str">
        <f>ß13</f>
        <v>Union</v>
      </c>
      <c r="D144" s="3" t="s">
        <v>11</v>
      </c>
      <c r="E144" s="2" t="str">
        <f>ß01</f>
        <v>Bayern</v>
      </c>
      <c r="F144" s="29"/>
      <c r="G144" s="3" t="s">
        <v>12</v>
      </c>
      <c r="H144" s="30"/>
      <c r="I144" s="37"/>
      <c r="J144" s="38" t="str">
        <f t="shared" si="131"/>
        <v/>
      </c>
      <c r="K144" s="37"/>
      <c r="L144" s="38" t="str">
        <f t="shared" si="132"/>
        <v/>
      </c>
      <c r="M144" s="37"/>
      <c r="N144" s="38" t="str">
        <f t="shared" si="133"/>
        <v/>
      </c>
      <c r="O144" s="37"/>
      <c r="P144" s="38" t="str">
        <f t="shared" si="134"/>
        <v/>
      </c>
      <c r="Q144" s="37"/>
      <c r="R144" s="38" t="str">
        <f t="shared" si="135"/>
        <v/>
      </c>
      <c r="S144" s="37"/>
      <c r="T144" s="38" t="str">
        <f t="shared" si="136"/>
        <v/>
      </c>
      <c r="U144" s="33"/>
      <c r="V144" s="38" t="str">
        <f t="shared" si="137"/>
        <v/>
      </c>
      <c r="AF144" s="34"/>
      <c r="AG144" s="34"/>
      <c r="AH144" s="34"/>
      <c r="AI144" s="34"/>
      <c r="AJ144" s="34"/>
      <c r="DG144" s="8" t="str">
        <f t="shared" si="138"/>
        <v/>
      </c>
      <c r="DH144" s="3">
        <f t="shared" si="144"/>
        <v>7</v>
      </c>
      <c r="DN144" s="12">
        <f t="shared" si="139"/>
        <v>0</v>
      </c>
      <c r="DO144" s="5">
        <f t="shared" si="140"/>
        <v>0</v>
      </c>
      <c r="DP144" s="5" t="str">
        <f t="shared" si="141"/>
        <v/>
      </c>
      <c r="DQ144" s="5" t="str">
        <f t="shared" si="142"/>
        <v/>
      </c>
      <c r="DR144" s="5">
        <f t="shared" si="143"/>
        <v>0</v>
      </c>
    </row>
    <row r="145" spans="3:122" ht="11.25" customHeight="1" x14ac:dyDescent="0.2">
      <c r="C145" s="2" t="str">
        <f>ß04</f>
        <v>Hoffenheim</v>
      </c>
      <c r="D145" s="3" t="s">
        <v>11</v>
      </c>
      <c r="E145" s="2" t="str">
        <f>ß02</f>
        <v>Leipzig</v>
      </c>
      <c r="F145" s="29"/>
      <c r="G145" s="3" t="s">
        <v>12</v>
      </c>
      <c r="H145" s="30"/>
      <c r="I145" s="37"/>
      <c r="J145" s="38" t="str">
        <f t="shared" si="131"/>
        <v/>
      </c>
      <c r="K145" s="37"/>
      <c r="L145" s="38" t="str">
        <f t="shared" si="132"/>
        <v/>
      </c>
      <c r="M145" s="37"/>
      <c r="N145" s="38" t="str">
        <f t="shared" si="133"/>
        <v/>
      </c>
      <c r="O145" s="37"/>
      <c r="P145" s="38" t="str">
        <f t="shared" si="134"/>
        <v/>
      </c>
      <c r="Q145" s="37"/>
      <c r="R145" s="38" t="str">
        <f t="shared" si="135"/>
        <v/>
      </c>
      <c r="S145" s="37"/>
      <c r="T145" s="38" t="str">
        <f t="shared" si="136"/>
        <v/>
      </c>
      <c r="U145" s="33"/>
      <c r="V145" s="38" t="str">
        <f t="shared" si="137"/>
        <v/>
      </c>
      <c r="AF145" s="34"/>
      <c r="AG145" s="34"/>
      <c r="AH145" s="34"/>
      <c r="AI145" s="34"/>
      <c r="AJ145" s="34"/>
      <c r="DG145" s="8" t="str">
        <f t="shared" si="138"/>
        <v/>
      </c>
      <c r="DH145" s="3">
        <f t="shared" si="144"/>
        <v>7</v>
      </c>
      <c r="DN145" s="12">
        <f t="shared" si="139"/>
        <v>0</v>
      </c>
      <c r="DO145" s="5">
        <f t="shared" si="140"/>
        <v>0</v>
      </c>
      <c r="DP145" s="5" t="str">
        <f t="shared" si="141"/>
        <v/>
      </c>
      <c r="DQ145" s="5" t="str">
        <f t="shared" si="142"/>
        <v/>
      </c>
      <c r="DR145" s="5">
        <f t="shared" si="143"/>
        <v>0</v>
      </c>
    </row>
    <row r="146" spans="3:122" ht="11.25" customHeight="1" thickBot="1" x14ac:dyDescent="0.25">
      <c r="C146" s="2" t="str">
        <f>ß12</f>
        <v>HSV</v>
      </c>
      <c r="D146" s="3" t="s">
        <v>11</v>
      </c>
      <c r="E146" s="2" t="str">
        <f>ß16</f>
        <v>Dortmund</v>
      </c>
      <c r="F146" s="29"/>
      <c r="G146" s="3" t="s">
        <v>12</v>
      </c>
      <c r="H146" s="30"/>
      <c r="I146" s="37"/>
      <c r="J146" s="38" t="str">
        <f t="shared" si="131"/>
        <v/>
      </c>
      <c r="K146" s="37"/>
      <c r="L146" s="38" t="str">
        <f t="shared" si="132"/>
        <v/>
      </c>
      <c r="M146" s="37"/>
      <c r="N146" s="38" t="str">
        <f t="shared" si="133"/>
        <v/>
      </c>
      <c r="O146" s="37"/>
      <c r="P146" s="38" t="str">
        <f t="shared" si="134"/>
        <v/>
      </c>
      <c r="Q146" s="37"/>
      <c r="R146" s="38" t="str">
        <f t="shared" si="135"/>
        <v/>
      </c>
      <c r="S146" s="37"/>
      <c r="T146" s="38" t="str">
        <f t="shared" si="136"/>
        <v/>
      </c>
      <c r="U146" s="33"/>
      <c r="V146" s="38" t="str">
        <f t="shared" si="137"/>
        <v/>
      </c>
      <c r="AF146" s="34"/>
      <c r="AG146" s="34"/>
      <c r="AH146" s="34"/>
      <c r="AI146" s="34"/>
      <c r="AJ146" s="34"/>
      <c r="DG146" s="8" t="str">
        <f t="shared" si="138"/>
        <v/>
      </c>
      <c r="DH146" s="3">
        <f t="shared" si="144"/>
        <v>7</v>
      </c>
      <c r="DN146" s="12">
        <f t="shared" si="139"/>
        <v>0</v>
      </c>
      <c r="DO146" s="5">
        <f t="shared" si="140"/>
        <v>0</v>
      </c>
      <c r="DP146" s="5" t="str">
        <f t="shared" si="141"/>
        <v/>
      </c>
      <c r="DQ146" s="5" t="str">
        <f t="shared" si="142"/>
        <v/>
      </c>
      <c r="DR146" s="5">
        <f t="shared" si="143"/>
        <v>0</v>
      </c>
    </row>
    <row r="147" spans="3:122" ht="11.25" customHeight="1" thickTop="1" x14ac:dyDescent="0.2">
      <c r="C147" s="41">
        <f>(I147+K147+M147+O147+Q147+S147+U147)</f>
        <v>0</v>
      </c>
      <c r="E147" s="42">
        <f>C147/8</f>
        <v>0</v>
      </c>
      <c r="F147" s="41">
        <f>SUM(F138:F146)</f>
        <v>0</v>
      </c>
      <c r="G147" s="2"/>
      <c r="H147" s="43">
        <f>SUM(H138:H146)</f>
        <v>0</v>
      </c>
      <c r="I147" s="44">
        <f>COUNTIF(J138:J146,"&gt;0")</f>
        <v>0</v>
      </c>
      <c r="J147" s="45">
        <f>I147+J132</f>
        <v>0</v>
      </c>
      <c r="K147" s="44">
        <f>COUNTIF(L138:L146,"&gt;0")</f>
        <v>0</v>
      </c>
      <c r="L147" s="45">
        <f>K147+L132</f>
        <v>0</v>
      </c>
      <c r="M147" s="44">
        <f>COUNTIF(N138:N146,"&gt;0")</f>
        <v>0</v>
      </c>
      <c r="N147" s="45">
        <f>M147+N132</f>
        <v>0</v>
      </c>
      <c r="O147" s="44">
        <f>COUNTIF(P138:P146,"&gt;0")</f>
        <v>0</v>
      </c>
      <c r="P147" s="45">
        <f>O147+P132</f>
        <v>0</v>
      </c>
      <c r="Q147" s="44">
        <f>COUNTIF(R138:R146,"&gt;0")</f>
        <v>0</v>
      </c>
      <c r="R147" s="45">
        <f>Q147+R132</f>
        <v>0</v>
      </c>
      <c r="S147" s="44">
        <f>COUNTIF(T138:T146,"&gt;0")</f>
        <v>0</v>
      </c>
      <c r="T147" s="45">
        <f>S147+T132</f>
        <v>0</v>
      </c>
      <c r="U147" s="44">
        <f>COUNTIF(V138:V146,"&gt;0")</f>
        <v>0</v>
      </c>
      <c r="V147" s="45">
        <f>U147+V132</f>
        <v>0</v>
      </c>
      <c r="AF147" s="34"/>
      <c r="AG147" s="34"/>
      <c r="AH147" s="34"/>
      <c r="AI147" s="34"/>
      <c r="AJ147" s="34"/>
      <c r="DN147" s="12"/>
    </row>
    <row r="148" spans="3:122" ht="11.25" customHeight="1" x14ac:dyDescent="0.2">
      <c r="C148" s="41">
        <f>(I148+K148+M148+O148+Q148+S148+U148)</f>
        <v>0</v>
      </c>
      <c r="E148" s="42">
        <f>C148/8</f>
        <v>0</v>
      </c>
      <c r="F148" s="137">
        <f>F147+H147</f>
        <v>0</v>
      </c>
      <c r="G148" s="137"/>
      <c r="H148" s="137"/>
      <c r="I148" s="46">
        <f>SUM(J138:J146)</f>
        <v>0</v>
      </c>
      <c r="J148" s="47">
        <f>I148+J133</f>
        <v>0</v>
      </c>
      <c r="K148" s="46">
        <f>SUM(L138:L146)</f>
        <v>0</v>
      </c>
      <c r="L148" s="47">
        <f>K148+L133</f>
        <v>0</v>
      </c>
      <c r="M148" s="46">
        <f>SUM(N138:N146)</f>
        <v>0</v>
      </c>
      <c r="N148" s="47">
        <f>M148+N133</f>
        <v>0</v>
      </c>
      <c r="O148" s="46">
        <f>SUM(P138:P146)</f>
        <v>0</v>
      </c>
      <c r="P148" s="47">
        <f>O148+P133</f>
        <v>0</v>
      </c>
      <c r="Q148" s="46">
        <f>SUM(R138:R146)</f>
        <v>0</v>
      </c>
      <c r="R148" s="47">
        <f>Q148+R133</f>
        <v>0</v>
      </c>
      <c r="S148" s="46">
        <f>SUM(T138:T146)</f>
        <v>0</v>
      </c>
      <c r="T148" s="47">
        <f>S148+T133</f>
        <v>0</v>
      </c>
      <c r="U148" s="46">
        <f>SUM(V138:V146)</f>
        <v>0</v>
      </c>
      <c r="V148" s="47">
        <f>U148+V133</f>
        <v>0</v>
      </c>
      <c r="AF148" s="34"/>
      <c r="AG148" s="34"/>
      <c r="AH148" s="34"/>
      <c r="AI148" s="34"/>
      <c r="AJ148" s="34"/>
      <c r="DN148" s="12"/>
    </row>
    <row r="149" spans="3:122" ht="11.25" customHeight="1" thickBot="1" x14ac:dyDescent="0.25">
      <c r="C149" s="41">
        <f>(I149+K149+M149+O149+Q149+S149+U149)</f>
        <v>0</v>
      </c>
      <c r="E149" s="42">
        <f>C149/8</f>
        <v>0</v>
      </c>
      <c r="F149" s="138">
        <f>F148+F134</f>
        <v>0</v>
      </c>
      <c r="G149" s="138"/>
      <c r="H149" s="138"/>
      <c r="I149" s="48">
        <f>I147*I148</f>
        <v>0</v>
      </c>
      <c r="J149" s="49">
        <f>I149+J134</f>
        <v>0</v>
      </c>
      <c r="K149" s="48">
        <f>K147*K148</f>
        <v>0</v>
      </c>
      <c r="L149" s="49">
        <f>K149+L134</f>
        <v>0</v>
      </c>
      <c r="M149" s="48">
        <f>M147*M148</f>
        <v>0</v>
      </c>
      <c r="N149" s="49">
        <f>M149+N134</f>
        <v>0</v>
      </c>
      <c r="O149" s="48">
        <f>O147*O148</f>
        <v>0</v>
      </c>
      <c r="P149" s="49">
        <f>O149+P134</f>
        <v>0</v>
      </c>
      <c r="Q149" s="48">
        <f>Q147*Q148</f>
        <v>0</v>
      </c>
      <c r="R149" s="49">
        <f>Q149+R134</f>
        <v>0</v>
      </c>
      <c r="S149" s="48">
        <f>S147*S148</f>
        <v>0</v>
      </c>
      <c r="T149" s="49">
        <f>S149+T134</f>
        <v>0</v>
      </c>
      <c r="U149" s="48">
        <f>U147*U148</f>
        <v>0</v>
      </c>
      <c r="V149" s="49">
        <f>U149+V134</f>
        <v>0</v>
      </c>
      <c r="AF149" s="34"/>
      <c r="AG149" s="34"/>
      <c r="AH149" s="34"/>
      <c r="AI149" s="34"/>
      <c r="AJ149" s="34"/>
      <c r="AL149" s="5">
        <f>MAX(I149,K149,M149,O149,Q149,S149,U149)</f>
        <v>0</v>
      </c>
      <c r="AM149" s="5">
        <f>MIN(I149,K149,M149,O149,Q149,S149,U149)</f>
        <v>0</v>
      </c>
      <c r="AN149" s="5"/>
      <c r="AO149" s="5"/>
      <c r="AP149" s="5"/>
      <c r="AQ149" s="5"/>
      <c r="AR149" s="5"/>
      <c r="AS149" s="13"/>
      <c r="AT149" s="5"/>
      <c r="AU149" s="5"/>
      <c r="AV149" s="5"/>
      <c r="AW149" s="5"/>
      <c r="AX149" s="5"/>
      <c r="AY149" s="5"/>
      <c r="AZ149" s="5"/>
      <c r="BA149" s="5"/>
      <c r="BB149" s="5"/>
      <c r="BD149" s="5"/>
      <c r="BE149" s="5"/>
      <c r="BF149" s="14"/>
      <c r="BG149" s="13"/>
      <c r="BH149" s="5"/>
      <c r="BI149" s="14"/>
      <c r="BJ149" s="13"/>
      <c r="BK149" s="5"/>
      <c r="BL149" s="14"/>
      <c r="BM149" s="13"/>
      <c r="BN149" s="5"/>
      <c r="BO149" s="14"/>
      <c r="BP149" s="13"/>
      <c r="BQ149" s="5"/>
      <c r="BR149" s="14"/>
      <c r="BS149" s="13"/>
      <c r="BT149" s="5"/>
      <c r="BU149" s="14"/>
      <c r="BV149" s="13"/>
      <c r="BW149" s="5"/>
      <c r="BX149" s="14"/>
      <c r="BY149" s="13"/>
      <c r="BZ149" s="5"/>
      <c r="CA149" s="14"/>
      <c r="CB149" s="13"/>
      <c r="CC149" s="5"/>
      <c r="CD149" s="14"/>
      <c r="CE149" s="13"/>
      <c r="CF149" s="5"/>
      <c r="CG149" s="14"/>
      <c r="CH149" s="13"/>
      <c r="CI149" s="5"/>
      <c r="CJ149" s="14"/>
      <c r="CK149" s="13"/>
      <c r="CL149" s="5"/>
      <c r="CM149" s="14"/>
      <c r="CN149" s="13"/>
      <c r="CO149" s="5"/>
      <c r="CP149" s="14"/>
      <c r="CQ149" s="13"/>
      <c r="CR149" s="5"/>
      <c r="CS149" s="14"/>
      <c r="CT149" s="13"/>
      <c r="CU149" s="5"/>
      <c r="CV149" s="14"/>
      <c r="CW149" s="13"/>
      <c r="CX149" s="5"/>
      <c r="CY149" s="14"/>
      <c r="CZ149" s="13"/>
      <c r="DA149" s="5"/>
      <c r="DB149" s="14"/>
      <c r="DC149" s="13"/>
      <c r="DD149" s="5"/>
      <c r="DE149" s="14"/>
      <c r="DF149" s="5"/>
      <c r="DG149" s="5"/>
      <c r="DH149" s="5"/>
      <c r="DN149" s="12"/>
    </row>
    <row r="150" spans="3:122" ht="11.25" customHeight="1" thickTop="1" x14ac:dyDescent="0.2">
      <c r="I150" s="50"/>
      <c r="J150" s="50">
        <f>L149-J149</f>
        <v>0</v>
      </c>
      <c r="K150" s="50"/>
      <c r="L150" s="50"/>
      <c r="M150" s="50"/>
      <c r="N150" s="50">
        <f>L149-N149</f>
        <v>0</v>
      </c>
      <c r="O150" s="50"/>
      <c r="P150" s="50">
        <f>L149-P149</f>
        <v>0</v>
      </c>
      <c r="Q150" s="50"/>
      <c r="R150" s="50">
        <f>L149-R149</f>
        <v>0</v>
      </c>
      <c r="S150" s="50"/>
      <c r="T150" s="50">
        <f>L149-T149</f>
        <v>0</v>
      </c>
      <c r="U150" s="50"/>
      <c r="V150" s="50">
        <f>L149-V149</f>
        <v>0</v>
      </c>
    </row>
    <row r="151" spans="3:122" ht="11.25" customHeight="1" x14ac:dyDescent="0.2">
      <c r="I151" s="139" t="str">
        <f>ß101</f>
        <v>Kropp</v>
      </c>
      <c r="J151" s="139"/>
      <c r="K151" s="139" t="str">
        <f>ß102</f>
        <v>Nörnberg</v>
      </c>
      <c r="L151" s="139"/>
      <c r="M151" s="139" t="str">
        <f>ß103</f>
        <v>Bübel</v>
      </c>
      <c r="N151" s="139"/>
      <c r="O151" s="139" t="str">
        <f>ß104</f>
        <v>Schwicht.</v>
      </c>
      <c r="P151" s="139"/>
      <c r="Q151" s="139" t="str">
        <f>ß105</f>
        <v>Rontzko.</v>
      </c>
      <c r="R151" s="139"/>
      <c r="S151" s="139" t="str">
        <f>ß106</f>
        <v>Hauschildt</v>
      </c>
      <c r="T151" s="139"/>
      <c r="U151" s="139" t="str">
        <f>ß107</f>
        <v>Zerres</v>
      </c>
      <c r="V151" s="139"/>
      <c r="AF151" s="11"/>
      <c r="AG151" s="11"/>
      <c r="AH151" s="11"/>
      <c r="AI151" s="11"/>
      <c r="AJ151" s="11"/>
      <c r="AL151" s="5" t="str">
        <f>IF($I164=$AL164,I151,"x")</f>
        <v>Kropp</v>
      </c>
      <c r="AM151" s="5" t="str">
        <f>IF($K164=$AL164,K151,"x")</f>
        <v>Nörnberg</v>
      </c>
      <c r="AN151" s="5" t="str">
        <f>IF($M164=$AL164,M151,"x")</f>
        <v>Bübel</v>
      </c>
      <c r="AO151" s="5" t="str">
        <f>IF($O164=$AL164,O151,"x")</f>
        <v>Schwicht.</v>
      </c>
      <c r="AP151" s="5" t="str">
        <f>IF($Q164=$AL164,Q151,"x")</f>
        <v>Rontzko.</v>
      </c>
      <c r="AQ151" s="5" t="str">
        <f>IF($S164=$AL164,S151,"x")</f>
        <v>Hauschildt</v>
      </c>
      <c r="AR151" s="5" t="str">
        <f>IF($U164=$AL164,U151,"x")</f>
        <v>Zerres</v>
      </c>
      <c r="AS151" s="13" t="str">
        <f>IF($I164=$AM164,I151,"x")</f>
        <v>Kropp</v>
      </c>
      <c r="AT151" s="5" t="str">
        <f>IF($K164=$AM164,K151,"x")</f>
        <v>Nörnberg</v>
      </c>
      <c r="AU151" s="5" t="str">
        <f>IF($M164=$AM164,M151,"x")</f>
        <v>Bübel</v>
      </c>
      <c r="AV151" s="5" t="str">
        <f>IF($O164=$AM164,O151,"x")</f>
        <v>Schwicht.</v>
      </c>
      <c r="AW151" s="5" t="str">
        <f>IF($Q164=$AM164,Q151,"x")</f>
        <v>Rontzko.</v>
      </c>
      <c r="AX151" s="5" t="str">
        <f>IF($S164=$AM164,S151,"x")</f>
        <v>Hauschildt</v>
      </c>
      <c r="AY151" s="5" t="str">
        <f>IF($U164=$AM164,U151,"x")</f>
        <v>Zerres</v>
      </c>
      <c r="BD151" s="140" t="str">
        <f>ß01</f>
        <v>Bayern</v>
      </c>
      <c r="BE151" s="140"/>
      <c r="BF151" s="140"/>
      <c r="BG151" s="141" t="str">
        <f>ß02</f>
        <v>Leipzig</v>
      </c>
      <c r="BH151" s="141"/>
      <c r="BI151" s="141"/>
      <c r="BJ151" s="141" t="str">
        <f>ß03</f>
        <v>Leverk.</v>
      </c>
      <c r="BK151" s="141"/>
      <c r="BL151" s="141"/>
      <c r="BM151" s="141" t="str">
        <f>ß04</f>
        <v>Hoffenheim</v>
      </c>
      <c r="BN151" s="141"/>
      <c r="BO151" s="141"/>
      <c r="BP151" s="141" t="str">
        <f>ß05</f>
        <v>Frankfurt</v>
      </c>
      <c r="BQ151" s="141"/>
      <c r="BR151" s="141"/>
      <c r="BS151" s="141" t="str">
        <f>ß06</f>
        <v>Werder</v>
      </c>
      <c r="BT151" s="141"/>
      <c r="BU151" s="141"/>
      <c r="BV151" s="141" t="str">
        <f>ß07</f>
        <v>Freiburg</v>
      </c>
      <c r="BW151" s="141"/>
      <c r="BX151" s="141"/>
      <c r="BY151" s="141" t="str">
        <f>ß08</f>
        <v>Augsburg</v>
      </c>
      <c r="BZ151" s="141"/>
      <c r="CA151" s="141"/>
      <c r="CB151" s="141" t="str">
        <f>ß09</f>
        <v>Mainz</v>
      </c>
      <c r="CC151" s="141"/>
      <c r="CD151" s="141"/>
      <c r="CE151" s="141" t="str">
        <f>ß10</f>
        <v>Köln</v>
      </c>
      <c r="CF151" s="141"/>
      <c r="CG151" s="141"/>
      <c r="CH151" s="141" t="str">
        <f>ß11</f>
        <v>M'gladb.</v>
      </c>
      <c r="CI151" s="141"/>
      <c r="CJ151" s="141"/>
      <c r="CK151" s="141" t="str">
        <f>ß12</f>
        <v>HSV</v>
      </c>
      <c r="CL151" s="141"/>
      <c r="CM151" s="141"/>
      <c r="CN151" s="141" t="str">
        <f>ß13</f>
        <v>Union</v>
      </c>
      <c r="CO151" s="141"/>
      <c r="CP151" s="141"/>
      <c r="CQ151" s="141" t="str">
        <f>ß14</f>
        <v>Stuttgart</v>
      </c>
      <c r="CR151" s="141"/>
      <c r="CS151" s="141"/>
      <c r="CT151" s="141" t="str">
        <f>ß15</f>
        <v>St. Pauli</v>
      </c>
      <c r="CU151" s="141"/>
      <c r="CV151" s="141"/>
      <c r="CW151" s="141" t="str">
        <f>ß16</f>
        <v>Dortmund</v>
      </c>
      <c r="CX151" s="141"/>
      <c r="CY151" s="141"/>
      <c r="CZ151" s="141" t="str">
        <f>ß17</f>
        <v>Heidenheim</v>
      </c>
      <c r="DA151" s="141"/>
      <c r="DB151" s="141"/>
      <c r="DC151" s="141" t="str">
        <f>ß18</f>
        <v>Wolfsburg</v>
      </c>
      <c r="DD151" s="141"/>
      <c r="DE151" s="141"/>
      <c r="DN151" s="12"/>
    </row>
    <row r="152" spans="3:122" ht="11.25" customHeight="1" x14ac:dyDescent="0.2">
      <c r="C152" s="16" t="str">
        <f>Mannschaften!F11</f>
        <v>11. Spieltag</v>
      </c>
      <c r="D152" s="11"/>
      <c r="E152" s="17" t="str">
        <f>Mannschaften!G11</f>
        <v>21.-23.11.25</v>
      </c>
      <c r="I152" s="19">
        <f>RANK(Rang!A11,Rang!A11:G11)</f>
        <v>1</v>
      </c>
      <c r="J152" s="20">
        <f>RANK(Rang!H11,Rang!H11:N11)</f>
        <v>1</v>
      </c>
      <c r="K152" s="19">
        <f>RANK(Rang!B11,Rang!A11:G11)</f>
        <v>1</v>
      </c>
      <c r="L152" s="20">
        <f>RANK(Rang!I11,Rang!H11:N11)</f>
        <v>1</v>
      </c>
      <c r="M152" s="19">
        <f>RANK(Rang!C11,Rang!A11:G11)</f>
        <v>1</v>
      </c>
      <c r="N152" s="20">
        <f>RANK(Rang!J11,Rang!H11:N11)</f>
        <v>1</v>
      </c>
      <c r="O152" s="19">
        <f>RANK(Rang!D11,Rang!A11:G11)</f>
        <v>1</v>
      </c>
      <c r="P152" s="20">
        <f>RANK(Rang!K11,Rang!H11:N11)</f>
        <v>1</v>
      </c>
      <c r="Q152" s="19">
        <f>RANK(Rang!E11,Rang!A11:G11)</f>
        <v>1</v>
      </c>
      <c r="R152" s="20">
        <f>RANK(Rang!L11,Rang!H11:N11)</f>
        <v>1</v>
      </c>
      <c r="S152" s="19">
        <f>RANK(Rang!F11,Rang!A11:G11)</f>
        <v>1</v>
      </c>
      <c r="T152" s="20">
        <f>RANK(Rang!M11,Rang!H11:N11)</f>
        <v>1</v>
      </c>
      <c r="U152" s="19">
        <f>RANK(Rang!G11,Rang!A11:G11)</f>
        <v>1</v>
      </c>
      <c r="V152" s="20">
        <f>RANK(Rang!N11,Rang!H11:N11)</f>
        <v>1</v>
      </c>
      <c r="AF152" s="22"/>
      <c r="AG152" s="22"/>
      <c r="AH152" s="22"/>
      <c r="AI152" s="22"/>
      <c r="AJ152" s="22"/>
      <c r="AK152" s="21"/>
      <c r="AL152" s="21"/>
      <c r="AM152" s="21"/>
      <c r="AN152" s="21"/>
      <c r="AO152" s="21"/>
      <c r="AP152" s="21"/>
      <c r="AQ152" s="21"/>
      <c r="AR152" s="21"/>
      <c r="AS152" s="24"/>
      <c r="AT152" s="21"/>
      <c r="AU152" s="21"/>
      <c r="AV152" s="21"/>
      <c r="AW152" s="21"/>
      <c r="AX152" s="21"/>
      <c r="AY152" s="21"/>
      <c r="AZ152" s="21"/>
      <c r="BA152" s="21"/>
      <c r="BB152" s="21"/>
      <c r="BD152" s="25" t="s">
        <v>4</v>
      </c>
      <c r="BE152" s="25" t="s">
        <v>5</v>
      </c>
      <c r="BF152" s="26" t="s">
        <v>6</v>
      </c>
      <c r="BG152" s="27" t="s">
        <v>4</v>
      </c>
      <c r="BH152" s="25" t="s">
        <v>5</v>
      </c>
      <c r="BI152" s="26" t="s">
        <v>6</v>
      </c>
      <c r="BJ152" s="27" t="s">
        <v>4</v>
      </c>
      <c r="BK152" s="25" t="s">
        <v>5</v>
      </c>
      <c r="BL152" s="26" t="s">
        <v>6</v>
      </c>
      <c r="BM152" s="27" t="s">
        <v>4</v>
      </c>
      <c r="BN152" s="25" t="s">
        <v>5</v>
      </c>
      <c r="BO152" s="26" t="s">
        <v>6</v>
      </c>
      <c r="BP152" s="27" t="s">
        <v>4</v>
      </c>
      <c r="BQ152" s="25" t="s">
        <v>5</v>
      </c>
      <c r="BR152" s="26" t="s">
        <v>6</v>
      </c>
      <c r="BS152" s="27" t="s">
        <v>4</v>
      </c>
      <c r="BT152" s="25" t="s">
        <v>5</v>
      </c>
      <c r="BU152" s="26" t="s">
        <v>6</v>
      </c>
      <c r="BV152" s="27" t="s">
        <v>4</v>
      </c>
      <c r="BW152" s="25" t="s">
        <v>5</v>
      </c>
      <c r="BX152" s="26" t="s">
        <v>6</v>
      </c>
      <c r="BY152" s="27" t="s">
        <v>4</v>
      </c>
      <c r="BZ152" s="25" t="s">
        <v>5</v>
      </c>
      <c r="CA152" s="26" t="s">
        <v>6</v>
      </c>
      <c r="CB152" s="27" t="s">
        <v>4</v>
      </c>
      <c r="CC152" s="25" t="s">
        <v>5</v>
      </c>
      <c r="CD152" s="26" t="s">
        <v>6</v>
      </c>
      <c r="CE152" s="27" t="s">
        <v>4</v>
      </c>
      <c r="CF152" s="25" t="s">
        <v>5</v>
      </c>
      <c r="CG152" s="26" t="s">
        <v>6</v>
      </c>
      <c r="CH152" s="27" t="s">
        <v>4</v>
      </c>
      <c r="CI152" s="25" t="s">
        <v>5</v>
      </c>
      <c r="CJ152" s="26" t="s">
        <v>6</v>
      </c>
      <c r="CK152" s="27" t="s">
        <v>4</v>
      </c>
      <c r="CL152" s="25" t="s">
        <v>5</v>
      </c>
      <c r="CM152" s="26" t="s">
        <v>6</v>
      </c>
      <c r="CN152" s="27" t="s">
        <v>4</v>
      </c>
      <c r="CO152" s="25" t="s">
        <v>5</v>
      </c>
      <c r="CP152" s="26" t="s">
        <v>6</v>
      </c>
      <c r="CQ152" s="27" t="s">
        <v>4</v>
      </c>
      <c r="CR152" s="25" t="s">
        <v>5</v>
      </c>
      <c r="CS152" s="26" t="s">
        <v>6</v>
      </c>
      <c r="CT152" s="27" t="s">
        <v>4</v>
      </c>
      <c r="CU152" s="25" t="s">
        <v>5</v>
      </c>
      <c r="CV152" s="26" t="s">
        <v>6</v>
      </c>
      <c r="CW152" s="27" t="s">
        <v>4</v>
      </c>
      <c r="CX152" s="25" t="s">
        <v>5</v>
      </c>
      <c r="CY152" s="26" t="s">
        <v>6</v>
      </c>
      <c r="CZ152" s="27" t="s">
        <v>4</v>
      </c>
      <c r="DA152" s="25" t="s">
        <v>5</v>
      </c>
      <c r="DB152" s="26" t="s">
        <v>6</v>
      </c>
      <c r="DC152" s="27" t="s">
        <v>4</v>
      </c>
      <c r="DD152" s="25" t="s">
        <v>5</v>
      </c>
      <c r="DE152" s="26" t="s">
        <v>6</v>
      </c>
      <c r="DF152" s="21"/>
      <c r="DG152" s="21"/>
      <c r="DH152" s="21"/>
      <c r="DN152" s="136" t="s">
        <v>7</v>
      </c>
      <c r="DO152" s="136"/>
      <c r="DP152" s="136" t="s">
        <v>8</v>
      </c>
      <c r="DQ152" s="136"/>
      <c r="DR152" s="28"/>
    </row>
    <row r="153" spans="3:122" ht="11.25" customHeight="1" x14ac:dyDescent="0.2">
      <c r="C153" s="2" t="str">
        <f>ß01</f>
        <v>Bayern</v>
      </c>
      <c r="D153" s="3" t="s">
        <v>11</v>
      </c>
      <c r="E153" s="2" t="str">
        <f>ß07</f>
        <v>Freiburg</v>
      </c>
      <c r="F153" s="29"/>
      <c r="G153" s="3" t="s">
        <v>12</v>
      </c>
      <c r="H153" s="30"/>
      <c r="I153" s="31"/>
      <c r="J153" s="32" t="str">
        <f t="shared" ref="J153:J161" si="145">IF($F153="","",(IF(I153="","",IF(I153=$DG153,(VLOOKUP($DH153,$DJ$3:$DK$11,2,FALSE())),0))))</f>
        <v/>
      </c>
      <c r="K153" s="31"/>
      <c r="L153" s="32" t="str">
        <f t="shared" ref="L153:L161" si="146">IF($F153="","",(IF(K153="","",IF(K153=$DG153,(VLOOKUP($DH153,$DJ$3:$DK$11,2,FALSE())),0))))</f>
        <v/>
      </c>
      <c r="M153" s="31"/>
      <c r="N153" s="32" t="str">
        <f t="shared" ref="N153:N161" si="147">IF($F153="","",(IF(M153="","",IF(M153=$DG153,(VLOOKUP($DH153,$DJ$3:$DK$11,2,FALSE())),0))))</f>
        <v/>
      </c>
      <c r="O153" s="31"/>
      <c r="P153" s="32" t="str">
        <f t="shared" ref="P153:P161" si="148">IF($F153="","",(IF(O153="","",IF(O153=$DG153,(VLOOKUP($DH153,$DJ$3:$DK$11,2,FALSE())),0))))</f>
        <v/>
      </c>
      <c r="Q153" s="31"/>
      <c r="R153" s="32" t="str">
        <f t="shared" ref="R153:R161" si="149">IF($F153="","",(IF(Q153="","",IF(Q153=$DG153,(VLOOKUP($DH153,$DJ$3:$DK$11,2,FALSE())),0))))</f>
        <v/>
      </c>
      <c r="S153" s="31"/>
      <c r="T153" s="32" t="str">
        <f t="shared" ref="T153:T161" si="150">IF($F153="","",(IF(S153="","",IF(S153=$DG153,(VLOOKUP($DH153,$DJ$3:$DK$11,2,FALSE())),0))))</f>
        <v/>
      </c>
      <c r="U153" s="31"/>
      <c r="V153" s="32" t="str">
        <f t="shared" ref="V153:V161" si="151">IF($F153="","",(IF(U153="","",IF(U153=$DG153,(VLOOKUP($DH153,$DJ$3:$DK$11,2,FALSE())),0))))</f>
        <v/>
      </c>
      <c r="AF153" s="34"/>
      <c r="AG153" s="34"/>
      <c r="AH153" s="34"/>
      <c r="AI153" s="34"/>
      <c r="AJ153" s="34"/>
      <c r="AN153" s="5"/>
      <c r="AO153" s="5"/>
      <c r="AP153" s="5"/>
      <c r="AQ153" s="5"/>
      <c r="AR153" s="5"/>
      <c r="AS153" s="13"/>
      <c r="AT153" s="5"/>
      <c r="AU153" s="5"/>
      <c r="AV153" s="5"/>
      <c r="AW153" s="5"/>
      <c r="AX153" s="5"/>
      <c r="AY153" s="5"/>
      <c r="BC153" s="6">
        <v>152</v>
      </c>
      <c r="BD153" s="35">
        <f>IF(ISERROR(MATCH(ß01,$C153:$C161,0)),"",MATCH(ß01,$C153:$C161,0))</f>
        <v>1</v>
      </c>
      <c r="BE153" s="35" t="str">
        <f>IF(ISERROR(MATCH(ß01,$E153:$E161,0)),"",MATCH(ß01,$E153:$E161,0))</f>
        <v/>
      </c>
      <c r="BF153" s="15">
        <f>SUM(BD153:BE153)+BC153</f>
        <v>153</v>
      </c>
      <c r="BG153" s="36">
        <f>IF(ISERROR(MATCH(ß02,$C153:$C161,0)),"",MATCH(ß02,$C153:$C161,0))</f>
        <v>4</v>
      </c>
      <c r="BH153" s="35" t="str">
        <f>IF(ISERROR(MATCH(ß02,$E153:$E161,0)),"",MATCH(ß02,$E153:$E161,0))</f>
        <v/>
      </c>
      <c r="BI153" s="15">
        <f>SUM(BG153:BH153)+BC153</f>
        <v>156</v>
      </c>
      <c r="BJ153" s="36" t="str">
        <f>IF(ISERROR(MATCH(ß03,$C153:$C161,0)),"",MATCH(ß03,$C153:$C161,0))</f>
        <v/>
      </c>
      <c r="BK153" s="35">
        <f>IF(ISERROR(MATCH(ß03,$E153:$E161,0)),"",MATCH(ß03,$E153:$E161,0))</f>
        <v>5</v>
      </c>
      <c r="BL153" s="15">
        <f>SUM(BJ153:BK153)+BC153</f>
        <v>157</v>
      </c>
      <c r="BM153" s="36" t="str">
        <f>IF(ISERROR(MATCH(ß04,$C153:$C161,0)),"",MATCH(ß04,$C153:$C161,0))</f>
        <v/>
      </c>
      <c r="BN153" s="35">
        <f>IF(ISERROR(MATCH(ß04,$E153:$E161,0)),"",MATCH(ß04,$E153:$E161,0))</f>
        <v>3</v>
      </c>
      <c r="BO153" s="15">
        <f>SUM(BM153:BN153)+BC153</f>
        <v>155</v>
      </c>
      <c r="BP153" s="36" t="str">
        <f>IF(ISERROR(MATCH(ß05,$C153:$C161,0)),"",MATCH(ß05,$C153:$C161,0))</f>
        <v/>
      </c>
      <c r="BQ153" s="35">
        <f>IF(ISERROR(MATCH(ß05,$E153:$E161,0)),"",MATCH(ß05,$E153:$E161,0))</f>
        <v>9</v>
      </c>
      <c r="BR153" s="15">
        <f>SUM(BP153:BQ153)+BC153</f>
        <v>161</v>
      </c>
      <c r="BS153" s="36" t="str">
        <f>IF(ISERROR(MATCH(ß06,$C153:$C161,0)),"",MATCH(ß06,$C153:$C161,0))</f>
        <v/>
      </c>
      <c r="BT153" s="35">
        <f>IF(ISERROR(MATCH(ß06,$E153:$E161,0)),"",MATCH(ß06,$E153:$E161,0))</f>
        <v>4</v>
      </c>
      <c r="BU153" s="15">
        <f>SUM(BS153:BT153)+BC153</f>
        <v>156</v>
      </c>
      <c r="BV153" s="36" t="str">
        <f>IF(ISERROR(MATCH(ß07,$C153:$C161,0)),"",MATCH(ß07,$C153:$C161,0))</f>
        <v/>
      </c>
      <c r="BW153" s="35">
        <f>IF(ISERROR(MATCH(ß07,$E153:$E161,0)),"",MATCH(ß07,$E153:$E161,0))</f>
        <v>1</v>
      </c>
      <c r="BX153" s="15">
        <f>SUM(BV153:BW153)+BC153</f>
        <v>153</v>
      </c>
      <c r="BY153" s="36">
        <f>IF(ISERROR(MATCH(ß08,$C153:$C161,0)),"",MATCH(ß08,$C153:$C161,0))</f>
        <v>6</v>
      </c>
      <c r="BZ153" s="35" t="str">
        <f>IF(ISERROR(MATCH(ß08,$E153:$E161,0)),"",MATCH(ß08,$E153:$E161,0))</f>
        <v/>
      </c>
      <c r="CA153" s="15">
        <f>SUM(BY153:BZ153)+BC153</f>
        <v>158</v>
      </c>
      <c r="CB153" s="36">
        <f>IF(ISERROR(MATCH(ß09,$C153:$C161,0)),"",MATCH(ß09,$C153:$C161,0))</f>
        <v>3</v>
      </c>
      <c r="CC153" s="35" t="str">
        <f>IF(ISERROR(MATCH(ß09,$E153:$E161,0)),"",MATCH(ß09,$E153:$E161,0))</f>
        <v/>
      </c>
      <c r="CD153" s="15">
        <f>SUM(CB153:CC153)+BC153</f>
        <v>155</v>
      </c>
      <c r="CE153" s="36">
        <f>IF(ISERROR(MATCH(ß10,$C153:$C161,0)),"",MATCH(ß10,$C153:$C161,0))</f>
        <v>9</v>
      </c>
      <c r="CF153" s="35" t="str">
        <f>IF(ISERROR(MATCH(ß10,$E153:$E161,0)),"",MATCH(ß10,$E153:$E161,0))</f>
        <v/>
      </c>
      <c r="CG153" s="15">
        <f>SUM(CE153:CF153)+BC153</f>
        <v>161</v>
      </c>
      <c r="CH153" s="36" t="str">
        <f>IF(ISERROR(MATCH(ß11,$C153:$C161,0)),"",MATCH(ß11,$C153:$C161,0))</f>
        <v/>
      </c>
      <c r="CI153" s="35">
        <f>IF(ISERROR(MATCH(ß11,$E153:$E161,0)),"",MATCH(ß11,$E153:$E161,0))</f>
        <v>8</v>
      </c>
      <c r="CJ153" s="15">
        <f>SUM(CH153:CI153)+BC153</f>
        <v>160</v>
      </c>
      <c r="CK153" s="36" t="str">
        <f>IF(ISERROR(MATCH(ß12,$C153:$C161,0)),"",MATCH(ß12,$C153:$C161,0))</f>
        <v/>
      </c>
      <c r="CL153" s="35">
        <f>IF(ISERROR(MATCH(ß12,$E153:$E161,0)),"",MATCH(ß12,$E153:$E161,0))</f>
        <v>6</v>
      </c>
      <c r="CM153" s="15">
        <f>SUM(CK153:CL153)+BC153</f>
        <v>158</v>
      </c>
      <c r="CN153" s="36" t="str">
        <f>IF(ISERROR(MATCH(ß13,$C153:$C161,0)),"",MATCH(ß13,$C153:$C161,0))</f>
        <v/>
      </c>
      <c r="CO153" s="35">
        <f>IF(ISERROR(MATCH(ß13,$E153:$E161,0)),"",MATCH(ß13,$E153:$E161,0))</f>
        <v>7</v>
      </c>
      <c r="CP153" s="15">
        <f>SUM(CN153:CO153)+BC153</f>
        <v>159</v>
      </c>
      <c r="CQ153" s="36" t="str">
        <f>IF(ISERROR(MATCH(ß14,$C153:$C161,0)),"",MATCH(ß14,$C153:$C161,0))</f>
        <v/>
      </c>
      <c r="CR153" s="35">
        <f>IF(ISERROR(MATCH(ß14,$E153:$E161,0)),"",MATCH(ß14,$E153:$E161,0))</f>
        <v>2</v>
      </c>
      <c r="CS153" s="15">
        <f>SUM(CQ153:CR153)+BC153</f>
        <v>154</v>
      </c>
      <c r="CT153" s="36">
        <f>IF(ISERROR(MATCH(ß15,$C153:$C161,0)),"",MATCH(ß15,$C153:$C161,0))</f>
        <v>7</v>
      </c>
      <c r="CU153" s="35" t="str">
        <f>IF(ISERROR(MATCH(ß15,$E153:$E161,0)),"",MATCH(ß15,$E153:$E161,0))</f>
        <v/>
      </c>
      <c r="CV153" s="15">
        <f>SUM(CT153:CU153)+BC153</f>
        <v>159</v>
      </c>
      <c r="CW153" s="36">
        <f>IF(ISERROR(MATCH(ß16,$C153:$C161,0)),"",MATCH(ß16,$C153:$C161,0))</f>
        <v>2</v>
      </c>
      <c r="CX153" s="35" t="str">
        <f>IF(ISERROR(MATCH(ß16,$E153:$E161,0)),"",MATCH(ß16,$E153:$E161,0))</f>
        <v/>
      </c>
      <c r="CY153" s="15">
        <f>SUM(CW153:CX153)+BC153</f>
        <v>154</v>
      </c>
      <c r="CZ153" s="36">
        <f>IF(ISERROR(MATCH(ß17,$C153:$C161,0)),"",MATCH(ß17,$C153:$C161,0))</f>
        <v>8</v>
      </c>
      <c r="DA153" s="35" t="str">
        <f>IF(ISERROR(MATCH(ß17,$E153:$E161,0)),"",MATCH(ß17,$E153:$E161,0))</f>
        <v/>
      </c>
      <c r="DB153" s="15">
        <f>SUM(CZ153:DA153)+BC153</f>
        <v>160</v>
      </c>
      <c r="DC153" s="36">
        <f>IF(ISERROR(MATCH(ß18,$C153:$C161,0)),"",MATCH(ß18,$C153:$C161,0))</f>
        <v>5</v>
      </c>
      <c r="DD153" s="35" t="str">
        <f>IF(ISERROR(MATCH(ß18,$E153:$E161,0)),"",MATCH(ß18,$E153:$E161,0))</f>
        <v/>
      </c>
      <c r="DE153" s="15">
        <f>SUM(DC153:DD153)+BC153</f>
        <v>157</v>
      </c>
      <c r="DG153" s="8" t="str">
        <f t="shared" ref="DG153:DG161" si="152">IF(F153="","",(IF(F153=H153,0,IF(F153&gt;H153,1,IF(F153&lt;H153,2)))))</f>
        <v/>
      </c>
      <c r="DH153" s="3">
        <f>COUNTIF(I153,DG153)+COUNTIF(K153,DG153)+COUNTIF(M153,DG153)+COUNTIF(O153,DG153)+COUNTIF(Q153,DG153)+COUNTIF(S153,DG153)+COUNTIF(U153,DG153)</f>
        <v>7</v>
      </c>
      <c r="DN153" s="12">
        <f t="shared" ref="DN153:DN161" si="153">F153</f>
        <v>0</v>
      </c>
      <c r="DO153" s="5">
        <f t="shared" ref="DO153:DO161" si="154">H153</f>
        <v>0</v>
      </c>
      <c r="DP153" s="5" t="str">
        <f t="shared" ref="DP153:DP161" si="155">IF($F153="","",IF(DN153&gt;DO153,3,IF(DN153&lt;DO153,0,1)))</f>
        <v/>
      </c>
      <c r="DQ153" s="5" t="str">
        <f t="shared" ref="DQ153:DQ161" si="156">IF($H153="","",IF(DO153&gt;DN153,3,IF(DO153&lt;DN153,0,1)))</f>
        <v/>
      </c>
      <c r="DR153" s="5">
        <f t="shared" ref="DR153:DR161" si="157">IF(ISBLANK(F153),0,1)</f>
        <v>0</v>
      </c>
    </row>
    <row r="154" spans="3:122" ht="11.25" customHeight="1" x14ac:dyDescent="0.2">
      <c r="C154" s="2" t="str">
        <f>ß16</f>
        <v>Dortmund</v>
      </c>
      <c r="D154" s="3" t="s">
        <v>11</v>
      </c>
      <c r="E154" s="2" t="str">
        <f>ß14</f>
        <v>Stuttgart</v>
      </c>
      <c r="F154" s="29"/>
      <c r="G154" s="3" t="s">
        <v>12</v>
      </c>
      <c r="H154" s="30"/>
      <c r="I154" s="37"/>
      <c r="J154" s="38" t="str">
        <f t="shared" si="145"/>
        <v/>
      </c>
      <c r="K154" s="37"/>
      <c r="L154" s="38" t="str">
        <f t="shared" si="146"/>
        <v/>
      </c>
      <c r="M154" s="37"/>
      <c r="N154" s="38" t="str">
        <f t="shared" si="147"/>
        <v/>
      </c>
      <c r="O154" s="37"/>
      <c r="P154" s="38" t="str">
        <f t="shared" si="148"/>
        <v/>
      </c>
      <c r="Q154" s="37"/>
      <c r="R154" s="38" t="str">
        <f t="shared" si="149"/>
        <v/>
      </c>
      <c r="S154" s="37"/>
      <c r="T154" s="38" t="str">
        <f t="shared" si="150"/>
        <v/>
      </c>
      <c r="U154" s="37"/>
      <c r="V154" s="38" t="str">
        <f t="shared" si="151"/>
        <v/>
      </c>
      <c r="AF154" s="34"/>
      <c r="AG154" s="34"/>
      <c r="AH154" s="34"/>
      <c r="AI154" s="34"/>
      <c r="AJ154" s="34"/>
      <c r="DG154" s="8" t="str">
        <f t="shared" si="152"/>
        <v/>
      </c>
      <c r="DH154" s="3">
        <f t="shared" ref="DH154:DH161" si="158">COUNTIF(I154,DG154)+COUNTIF(K154,DG154)+COUNTIF(M154,DG154)+COUNTIF(O154,DG154)+COUNTIF(Q154,DG154)+COUNTIF(S154,DG154)+COUNTIF(U154,DG154)</f>
        <v>7</v>
      </c>
      <c r="DN154" s="12">
        <f t="shared" si="153"/>
        <v>0</v>
      </c>
      <c r="DO154" s="5">
        <f t="shared" si="154"/>
        <v>0</v>
      </c>
      <c r="DP154" s="5" t="str">
        <f t="shared" si="155"/>
        <v/>
      </c>
      <c r="DQ154" s="5" t="str">
        <f t="shared" si="156"/>
        <v/>
      </c>
      <c r="DR154" s="5">
        <f t="shared" si="157"/>
        <v>0</v>
      </c>
    </row>
    <row r="155" spans="3:122" ht="11.25" customHeight="1" x14ac:dyDescent="0.2">
      <c r="C155" s="2" t="str">
        <f>ß09</f>
        <v>Mainz</v>
      </c>
      <c r="D155" s="3" t="s">
        <v>11</v>
      </c>
      <c r="E155" s="2" t="str">
        <f>ß04</f>
        <v>Hoffenheim</v>
      </c>
      <c r="F155" s="29"/>
      <c r="G155" s="3" t="s">
        <v>12</v>
      </c>
      <c r="H155" s="30"/>
      <c r="I155" s="37"/>
      <c r="J155" s="38" t="str">
        <f t="shared" si="145"/>
        <v/>
      </c>
      <c r="K155" s="37"/>
      <c r="L155" s="38" t="str">
        <f t="shared" si="146"/>
        <v/>
      </c>
      <c r="M155" s="37"/>
      <c r="N155" s="38" t="str">
        <f t="shared" si="147"/>
        <v/>
      </c>
      <c r="O155" s="37"/>
      <c r="P155" s="38" t="str">
        <f t="shared" si="148"/>
        <v/>
      </c>
      <c r="Q155" s="37"/>
      <c r="R155" s="38" t="str">
        <f t="shared" si="149"/>
        <v/>
      </c>
      <c r="S155" s="37"/>
      <c r="T155" s="38" t="str">
        <f t="shared" si="150"/>
        <v/>
      </c>
      <c r="U155" s="37"/>
      <c r="V155" s="38" t="str">
        <f t="shared" si="151"/>
        <v/>
      </c>
      <c r="AF155" s="34"/>
      <c r="AG155" s="34"/>
      <c r="AH155" s="34"/>
      <c r="AI155" s="34"/>
      <c r="AJ155" s="34"/>
      <c r="DG155" s="8" t="str">
        <f t="shared" si="152"/>
        <v/>
      </c>
      <c r="DH155" s="3">
        <f t="shared" si="158"/>
        <v>7</v>
      </c>
      <c r="DN155" s="12">
        <f t="shared" si="153"/>
        <v>0</v>
      </c>
      <c r="DO155" s="5">
        <f t="shared" si="154"/>
        <v>0</v>
      </c>
      <c r="DP155" s="5" t="str">
        <f t="shared" si="155"/>
        <v/>
      </c>
      <c r="DQ155" s="5" t="str">
        <f t="shared" si="156"/>
        <v/>
      </c>
      <c r="DR155" s="5">
        <f t="shared" si="157"/>
        <v>0</v>
      </c>
    </row>
    <row r="156" spans="3:122" ht="11.25" customHeight="1" x14ac:dyDescent="0.2">
      <c r="C156" s="2" t="str">
        <f>ß02</f>
        <v>Leipzig</v>
      </c>
      <c r="D156" s="3" t="s">
        <v>11</v>
      </c>
      <c r="E156" s="2" t="str">
        <f>ß06</f>
        <v>Werder</v>
      </c>
      <c r="F156" s="29"/>
      <c r="G156" s="3" t="s">
        <v>12</v>
      </c>
      <c r="H156" s="30"/>
      <c r="I156" s="37"/>
      <c r="J156" s="38" t="str">
        <f t="shared" si="145"/>
        <v/>
      </c>
      <c r="K156" s="37"/>
      <c r="L156" s="38" t="str">
        <f t="shared" si="146"/>
        <v/>
      </c>
      <c r="M156" s="37"/>
      <c r="N156" s="38" t="str">
        <f t="shared" si="147"/>
        <v/>
      </c>
      <c r="O156" s="37"/>
      <c r="P156" s="38" t="str">
        <f t="shared" si="148"/>
        <v/>
      </c>
      <c r="Q156" s="37"/>
      <c r="R156" s="38" t="str">
        <f t="shared" si="149"/>
        <v/>
      </c>
      <c r="S156" s="37"/>
      <c r="T156" s="38" t="str">
        <f t="shared" si="150"/>
        <v/>
      </c>
      <c r="U156" s="37"/>
      <c r="V156" s="38" t="str">
        <f t="shared" si="151"/>
        <v/>
      </c>
      <c r="AF156" s="34"/>
      <c r="AG156" s="34"/>
      <c r="AH156" s="34"/>
      <c r="AI156" s="34"/>
      <c r="AJ156" s="34"/>
      <c r="DG156" s="8" t="str">
        <f t="shared" si="152"/>
        <v/>
      </c>
      <c r="DH156" s="3">
        <f t="shared" si="158"/>
        <v>7</v>
      </c>
      <c r="DN156" s="12">
        <f t="shared" si="153"/>
        <v>0</v>
      </c>
      <c r="DO156" s="5">
        <f t="shared" si="154"/>
        <v>0</v>
      </c>
      <c r="DP156" s="5" t="str">
        <f t="shared" si="155"/>
        <v/>
      </c>
      <c r="DQ156" s="5" t="str">
        <f t="shared" si="156"/>
        <v/>
      </c>
      <c r="DR156" s="5">
        <f t="shared" si="157"/>
        <v>0</v>
      </c>
    </row>
    <row r="157" spans="3:122" ht="11.25" customHeight="1" x14ac:dyDescent="0.2">
      <c r="C157" s="2" t="str">
        <f>ß18</f>
        <v>Wolfsburg</v>
      </c>
      <c r="D157" s="3" t="s">
        <v>11</v>
      </c>
      <c r="E157" s="2" t="str">
        <f>ß03</f>
        <v>Leverk.</v>
      </c>
      <c r="F157" s="29"/>
      <c r="G157" s="3" t="s">
        <v>12</v>
      </c>
      <c r="H157" s="30"/>
      <c r="I157" s="37"/>
      <c r="J157" s="38" t="str">
        <f t="shared" si="145"/>
        <v/>
      </c>
      <c r="K157" s="37"/>
      <c r="L157" s="38" t="str">
        <f t="shared" si="146"/>
        <v/>
      </c>
      <c r="M157" s="37"/>
      <c r="N157" s="38" t="str">
        <f t="shared" si="147"/>
        <v/>
      </c>
      <c r="O157" s="37"/>
      <c r="P157" s="38" t="str">
        <f t="shared" si="148"/>
        <v/>
      </c>
      <c r="Q157" s="37"/>
      <c r="R157" s="38" t="str">
        <f t="shared" si="149"/>
        <v/>
      </c>
      <c r="S157" s="37"/>
      <c r="T157" s="38" t="str">
        <f t="shared" si="150"/>
        <v/>
      </c>
      <c r="U157" s="37"/>
      <c r="V157" s="38" t="str">
        <f t="shared" si="151"/>
        <v/>
      </c>
      <c r="AF157" s="34"/>
      <c r="AG157" s="34"/>
      <c r="AH157" s="34"/>
      <c r="AI157" s="34"/>
      <c r="AJ157" s="34"/>
      <c r="DG157" s="8" t="str">
        <f t="shared" si="152"/>
        <v/>
      </c>
      <c r="DH157" s="3">
        <f t="shared" si="158"/>
        <v>7</v>
      </c>
      <c r="DN157" s="12">
        <f t="shared" si="153"/>
        <v>0</v>
      </c>
      <c r="DO157" s="5">
        <f t="shared" si="154"/>
        <v>0</v>
      </c>
      <c r="DP157" s="5" t="str">
        <f t="shared" si="155"/>
        <v/>
      </c>
      <c r="DQ157" s="5" t="str">
        <f t="shared" si="156"/>
        <v/>
      </c>
      <c r="DR157" s="5">
        <f t="shared" si="157"/>
        <v>0</v>
      </c>
    </row>
    <row r="158" spans="3:122" ht="11.25" customHeight="1" x14ac:dyDescent="0.2">
      <c r="C158" s="2" t="str">
        <f>ß08</f>
        <v>Augsburg</v>
      </c>
      <c r="D158" s="3" t="s">
        <v>11</v>
      </c>
      <c r="E158" s="2" t="str">
        <f>ß12</f>
        <v>HSV</v>
      </c>
      <c r="F158" s="29"/>
      <c r="G158" s="3" t="s">
        <v>12</v>
      </c>
      <c r="H158" s="30"/>
      <c r="I158" s="37"/>
      <c r="J158" s="38" t="str">
        <f t="shared" si="145"/>
        <v/>
      </c>
      <c r="K158" s="37"/>
      <c r="L158" s="38" t="str">
        <f t="shared" si="146"/>
        <v/>
      </c>
      <c r="M158" s="37"/>
      <c r="N158" s="38" t="str">
        <f t="shared" si="147"/>
        <v/>
      </c>
      <c r="O158" s="37"/>
      <c r="P158" s="38" t="str">
        <f t="shared" si="148"/>
        <v/>
      </c>
      <c r="Q158" s="37"/>
      <c r="R158" s="38" t="str">
        <f t="shared" si="149"/>
        <v/>
      </c>
      <c r="S158" s="37"/>
      <c r="T158" s="38" t="str">
        <f t="shared" si="150"/>
        <v/>
      </c>
      <c r="U158" s="37"/>
      <c r="V158" s="38" t="str">
        <f t="shared" si="151"/>
        <v/>
      </c>
      <c r="AF158" s="34"/>
      <c r="AG158" s="34"/>
      <c r="AH158" s="34"/>
      <c r="AI158" s="34"/>
      <c r="AJ158" s="34"/>
      <c r="DG158" s="8" t="str">
        <f t="shared" si="152"/>
        <v/>
      </c>
      <c r="DH158" s="3">
        <f t="shared" si="158"/>
        <v>7</v>
      </c>
      <c r="DN158" s="12">
        <f t="shared" si="153"/>
        <v>0</v>
      </c>
      <c r="DO158" s="5">
        <f t="shared" si="154"/>
        <v>0</v>
      </c>
      <c r="DP158" s="5" t="str">
        <f t="shared" si="155"/>
        <v/>
      </c>
      <c r="DQ158" s="5" t="str">
        <f t="shared" si="156"/>
        <v/>
      </c>
      <c r="DR158" s="5">
        <f t="shared" si="157"/>
        <v>0</v>
      </c>
    </row>
    <row r="159" spans="3:122" ht="11.25" customHeight="1" x14ac:dyDescent="0.2">
      <c r="C159" s="2" t="str">
        <f>ß15</f>
        <v>St. Pauli</v>
      </c>
      <c r="D159" s="3" t="s">
        <v>11</v>
      </c>
      <c r="E159" s="2" t="str">
        <f>ß13</f>
        <v>Union</v>
      </c>
      <c r="F159" s="29"/>
      <c r="G159" s="3" t="s">
        <v>12</v>
      </c>
      <c r="H159" s="30"/>
      <c r="I159" s="37"/>
      <c r="J159" s="38" t="str">
        <f t="shared" si="145"/>
        <v/>
      </c>
      <c r="K159" s="37"/>
      <c r="L159" s="38" t="str">
        <f t="shared" si="146"/>
        <v/>
      </c>
      <c r="M159" s="37"/>
      <c r="N159" s="38" t="str">
        <f t="shared" si="147"/>
        <v/>
      </c>
      <c r="O159" s="37"/>
      <c r="P159" s="38" t="str">
        <f t="shared" si="148"/>
        <v/>
      </c>
      <c r="Q159" s="37"/>
      <c r="R159" s="38" t="str">
        <f t="shared" si="149"/>
        <v/>
      </c>
      <c r="S159" s="37"/>
      <c r="T159" s="38" t="str">
        <f t="shared" si="150"/>
        <v/>
      </c>
      <c r="U159" s="37"/>
      <c r="V159" s="38" t="str">
        <f t="shared" si="151"/>
        <v/>
      </c>
      <c r="AF159" s="34"/>
      <c r="AG159" s="34"/>
      <c r="AH159" s="34"/>
      <c r="AI159" s="34"/>
      <c r="AJ159" s="34"/>
      <c r="DG159" s="8" t="str">
        <f t="shared" si="152"/>
        <v/>
      </c>
      <c r="DH159" s="3">
        <f t="shared" si="158"/>
        <v>7</v>
      </c>
      <c r="DN159" s="12">
        <f t="shared" si="153"/>
        <v>0</v>
      </c>
      <c r="DO159" s="5">
        <f t="shared" si="154"/>
        <v>0</v>
      </c>
      <c r="DP159" s="5" t="str">
        <f t="shared" si="155"/>
        <v/>
      </c>
      <c r="DQ159" s="5" t="str">
        <f t="shared" si="156"/>
        <v/>
      </c>
      <c r="DR159" s="5">
        <f t="shared" si="157"/>
        <v>0</v>
      </c>
    </row>
    <row r="160" spans="3:122" ht="11.25" customHeight="1" x14ac:dyDescent="0.2">
      <c r="C160" s="2" t="str">
        <f>ß17</f>
        <v>Heidenheim</v>
      </c>
      <c r="D160" s="3" t="s">
        <v>11</v>
      </c>
      <c r="E160" s="2" t="str">
        <f>ß11</f>
        <v>M'gladb.</v>
      </c>
      <c r="F160" s="29"/>
      <c r="G160" s="3" t="s">
        <v>12</v>
      </c>
      <c r="H160" s="30"/>
      <c r="I160" s="37"/>
      <c r="J160" s="38" t="str">
        <f t="shared" si="145"/>
        <v/>
      </c>
      <c r="K160" s="37"/>
      <c r="L160" s="38" t="str">
        <f t="shared" si="146"/>
        <v/>
      </c>
      <c r="M160" s="37"/>
      <c r="N160" s="38" t="str">
        <f t="shared" si="147"/>
        <v/>
      </c>
      <c r="O160" s="37"/>
      <c r="P160" s="38" t="str">
        <f t="shared" si="148"/>
        <v/>
      </c>
      <c r="Q160" s="37"/>
      <c r="R160" s="38" t="str">
        <f t="shared" si="149"/>
        <v/>
      </c>
      <c r="S160" s="37"/>
      <c r="T160" s="38" t="str">
        <f t="shared" si="150"/>
        <v/>
      </c>
      <c r="U160" s="37"/>
      <c r="V160" s="38" t="str">
        <f t="shared" si="151"/>
        <v/>
      </c>
      <c r="AF160" s="34"/>
      <c r="AG160" s="34"/>
      <c r="AH160" s="34"/>
      <c r="AI160" s="34"/>
      <c r="AJ160" s="34"/>
      <c r="DG160" s="8" t="str">
        <f t="shared" si="152"/>
        <v/>
      </c>
      <c r="DH160" s="3">
        <f t="shared" si="158"/>
        <v>7</v>
      </c>
      <c r="DN160" s="12">
        <f t="shared" si="153"/>
        <v>0</v>
      </c>
      <c r="DO160" s="5">
        <f t="shared" si="154"/>
        <v>0</v>
      </c>
      <c r="DP160" s="5" t="str">
        <f t="shared" si="155"/>
        <v/>
      </c>
      <c r="DQ160" s="5" t="str">
        <f t="shared" si="156"/>
        <v/>
      </c>
      <c r="DR160" s="5">
        <f t="shared" si="157"/>
        <v>0</v>
      </c>
    </row>
    <row r="161" spans="3:122" ht="11.25" customHeight="1" thickBot="1" x14ac:dyDescent="0.25">
      <c r="C161" s="2" t="str">
        <f>ß10</f>
        <v>Köln</v>
      </c>
      <c r="D161" s="3" t="s">
        <v>11</v>
      </c>
      <c r="E161" s="2" t="str">
        <f>ß05</f>
        <v>Frankfurt</v>
      </c>
      <c r="F161" s="29"/>
      <c r="G161" s="3" t="s">
        <v>12</v>
      </c>
      <c r="H161" s="30"/>
      <c r="I161" s="37"/>
      <c r="J161" s="38" t="str">
        <f t="shared" si="145"/>
        <v/>
      </c>
      <c r="K161" s="37"/>
      <c r="L161" s="38" t="str">
        <f t="shared" si="146"/>
        <v/>
      </c>
      <c r="M161" s="37"/>
      <c r="N161" s="38" t="str">
        <f t="shared" si="147"/>
        <v/>
      </c>
      <c r="O161" s="37"/>
      <c r="P161" s="38" t="str">
        <f t="shared" si="148"/>
        <v/>
      </c>
      <c r="Q161" s="37"/>
      <c r="R161" s="38" t="str">
        <f t="shared" si="149"/>
        <v/>
      </c>
      <c r="S161" s="37"/>
      <c r="T161" s="38" t="str">
        <f t="shared" si="150"/>
        <v/>
      </c>
      <c r="U161" s="37"/>
      <c r="V161" s="38" t="str">
        <f t="shared" si="151"/>
        <v/>
      </c>
      <c r="AF161" s="34"/>
      <c r="AG161" s="34"/>
      <c r="AH161" s="34"/>
      <c r="AI161" s="34"/>
      <c r="AJ161" s="34"/>
      <c r="DG161" s="8" t="str">
        <f t="shared" si="152"/>
        <v/>
      </c>
      <c r="DH161" s="3">
        <f t="shared" si="158"/>
        <v>7</v>
      </c>
      <c r="DN161" s="12">
        <f t="shared" si="153"/>
        <v>0</v>
      </c>
      <c r="DO161" s="5">
        <f t="shared" si="154"/>
        <v>0</v>
      </c>
      <c r="DP161" s="5" t="str">
        <f t="shared" si="155"/>
        <v/>
      </c>
      <c r="DQ161" s="5" t="str">
        <f t="shared" si="156"/>
        <v/>
      </c>
      <c r="DR161" s="5">
        <f t="shared" si="157"/>
        <v>0</v>
      </c>
    </row>
    <row r="162" spans="3:122" ht="11.25" customHeight="1" thickTop="1" x14ac:dyDescent="0.2">
      <c r="C162" s="41">
        <f>(I162+K162+M162+O162+Q162+S162+U162)</f>
        <v>0</v>
      </c>
      <c r="E162" s="42">
        <f>C162/8</f>
        <v>0</v>
      </c>
      <c r="F162" s="41">
        <f>SUM(F153:F161)</f>
        <v>0</v>
      </c>
      <c r="G162" s="2"/>
      <c r="H162" s="43">
        <f>SUM(H153:H161)</f>
        <v>0</v>
      </c>
      <c r="I162" s="44">
        <f>COUNTIF(J153:J161,"&gt;0")</f>
        <v>0</v>
      </c>
      <c r="J162" s="45">
        <f>I162+J147</f>
        <v>0</v>
      </c>
      <c r="K162" s="44">
        <f>COUNTIF(L153:L161,"&gt;0")</f>
        <v>0</v>
      </c>
      <c r="L162" s="45">
        <f>K162+L147</f>
        <v>0</v>
      </c>
      <c r="M162" s="44">
        <f>COUNTIF(N153:N161,"&gt;0")</f>
        <v>0</v>
      </c>
      <c r="N162" s="45">
        <f>M162+N147</f>
        <v>0</v>
      </c>
      <c r="O162" s="44">
        <f>COUNTIF(P153:P161,"&gt;0")</f>
        <v>0</v>
      </c>
      <c r="P162" s="45">
        <f>O162+P147</f>
        <v>0</v>
      </c>
      <c r="Q162" s="44">
        <f>COUNTIF(R153:R161,"&gt;0")</f>
        <v>0</v>
      </c>
      <c r="R162" s="45">
        <f>Q162+R147</f>
        <v>0</v>
      </c>
      <c r="S162" s="44">
        <f>COUNTIF(T153:T161,"&gt;0")</f>
        <v>0</v>
      </c>
      <c r="T162" s="45">
        <f>S162+T147</f>
        <v>0</v>
      </c>
      <c r="U162" s="44">
        <f>COUNTIF(V153:V161,"&gt;0")</f>
        <v>0</v>
      </c>
      <c r="V162" s="45">
        <f>U162+V147</f>
        <v>0</v>
      </c>
      <c r="AF162" s="34"/>
      <c r="AG162" s="34"/>
      <c r="AH162" s="34"/>
      <c r="AI162" s="34"/>
      <c r="AJ162" s="34"/>
      <c r="DN162" s="12"/>
    </row>
    <row r="163" spans="3:122" ht="11.25" customHeight="1" x14ac:dyDescent="0.2">
      <c r="C163" s="41">
        <f>(I163+K163+M163+O163+Q163+S163+U163)</f>
        <v>0</v>
      </c>
      <c r="E163" s="42">
        <f>C163/8</f>
        <v>0</v>
      </c>
      <c r="F163" s="137">
        <f>F162+H162</f>
        <v>0</v>
      </c>
      <c r="G163" s="137"/>
      <c r="H163" s="137"/>
      <c r="I163" s="46">
        <f>SUM(J153:J161)</f>
        <v>0</v>
      </c>
      <c r="J163" s="47">
        <f>I163+J148</f>
        <v>0</v>
      </c>
      <c r="K163" s="46">
        <f>SUM(L153:L161)</f>
        <v>0</v>
      </c>
      <c r="L163" s="47">
        <f>K163+L148</f>
        <v>0</v>
      </c>
      <c r="M163" s="46">
        <f>SUM(N153:N161)</f>
        <v>0</v>
      </c>
      <c r="N163" s="47">
        <f>M163+N148</f>
        <v>0</v>
      </c>
      <c r="O163" s="46">
        <f>SUM(P153:P161)</f>
        <v>0</v>
      </c>
      <c r="P163" s="47">
        <f>O163+P148</f>
        <v>0</v>
      </c>
      <c r="Q163" s="46">
        <f>SUM(R153:R161)</f>
        <v>0</v>
      </c>
      <c r="R163" s="47">
        <f>Q163+R148</f>
        <v>0</v>
      </c>
      <c r="S163" s="46">
        <f>SUM(T153:T161)</f>
        <v>0</v>
      </c>
      <c r="T163" s="47">
        <f>S163+T148</f>
        <v>0</v>
      </c>
      <c r="U163" s="46">
        <f>SUM(V153:V161)</f>
        <v>0</v>
      </c>
      <c r="V163" s="47">
        <f>U163+V148</f>
        <v>0</v>
      </c>
      <c r="AF163" s="34"/>
      <c r="AG163" s="34"/>
      <c r="AH163" s="34"/>
      <c r="AI163" s="34"/>
      <c r="AJ163" s="34"/>
      <c r="DN163" s="12"/>
    </row>
    <row r="164" spans="3:122" ht="11.25" customHeight="1" thickBot="1" x14ac:dyDescent="0.25">
      <c r="C164" s="41">
        <f>(I164+K164+M164+O164+Q164+S164+U164)</f>
        <v>0</v>
      </c>
      <c r="E164" s="42">
        <f>C164/8</f>
        <v>0</v>
      </c>
      <c r="F164" s="138">
        <f>F163+F149</f>
        <v>0</v>
      </c>
      <c r="G164" s="138"/>
      <c r="H164" s="138"/>
      <c r="I164" s="48">
        <f>I162*I163</f>
        <v>0</v>
      </c>
      <c r="J164" s="49">
        <f>I164+J149</f>
        <v>0</v>
      </c>
      <c r="K164" s="48">
        <f>K162*K163</f>
        <v>0</v>
      </c>
      <c r="L164" s="49">
        <f>K164+L149</f>
        <v>0</v>
      </c>
      <c r="M164" s="48">
        <f>M162*M163</f>
        <v>0</v>
      </c>
      <c r="N164" s="49">
        <f>M164+N149</f>
        <v>0</v>
      </c>
      <c r="O164" s="48">
        <f>O162*O163</f>
        <v>0</v>
      </c>
      <c r="P164" s="49">
        <f>O164+P149</f>
        <v>0</v>
      </c>
      <c r="Q164" s="48">
        <f>Q162*Q163</f>
        <v>0</v>
      </c>
      <c r="R164" s="49">
        <f>Q164+R149</f>
        <v>0</v>
      </c>
      <c r="S164" s="48">
        <f>S162*S163</f>
        <v>0</v>
      </c>
      <c r="T164" s="49">
        <f>S164+T149</f>
        <v>0</v>
      </c>
      <c r="U164" s="48">
        <f>U162*U163</f>
        <v>0</v>
      </c>
      <c r="V164" s="49">
        <f>U164+V149</f>
        <v>0</v>
      </c>
      <c r="AF164" s="34"/>
      <c r="AG164" s="34"/>
      <c r="AH164" s="34"/>
      <c r="AI164" s="34"/>
      <c r="AJ164" s="34"/>
      <c r="AL164" s="5">
        <f>MAX(I164,K164,M164,O164,Q164,S164,U164)</f>
        <v>0</v>
      </c>
      <c r="AM164" s="5">
        <f>MIN(I164,K164,M164,O164,Q164,S164,U164)</f>
        <v>0</v>
      </c>
      <c r="AN164" s="5"/>
      <c r="AO164" s="5"/>
      <c r="AP164" s="5"/>
      <c r="AQ164" s="5"/>
      <c r="AR164" s="5"/>
      <c r="AS164" s="13"/>
      <c r="AT164" s="5"/>
      <c r="AU164" s="5"/>
      <c r="AV164" s="5"/>
      <c r="AW164" s="5"/>
      <c r="AX164" s="5"/>
      <c r="AY164" s="5"/>
      <c r="AZ164" s="5"/>
      <c r="BA164" s="5"/>
      <c r="BB164" s="5"/>
      <c r="BD164" s="5"/>
      <c r="BE164" s="5"/>
      <c r="BF164" s="14"/>
      <c r="BG164" s="13"/>
      <c r="BH164" s="5"/>
      <c r="BI164" s="14"/>
      <c r="BJ164" s="13"/>
      <c r="BK164" s="5"/>
      <c r="BL164" s="14"/>
      <c r="BM164" s="13"/>
      <c r="BN164" s="5"/>
      <c r="BO164" s="14"/>
      <c r="BP164" s="13"/>
      <c r="BQ164" s="5"/>
      <c r="BR164" s="14"/>
      <c r="BS164" s="13"/>
      <c r="BT164" s="5"/>
      <c r="BU164" s="14"/>
      <c r="BV164" s="13"/>
      <c r="BW164" s="5"/>
      <c r="BX164" s="14"/>
      <c r="BY164" s="13"/>
      <c r="BZ164" s="5"/>
      <c r="CA164" s="14"/>
      <c r="CB164" s="13"/>
      <c r="CC164" s="5"/>
      <c r="CD164" s="14"/>
      <c r="CE164" s="13"/>
      <c r="CF164" s="5"/>
      <c r="CG164" s="14"/>
      <c r="CH164" s="13"/>
      <c r="CI164" s="5"/>
      <c r="CJ164" s="14"/>
      <c r="CK164" s="13"/>
      <c r="CL164" s="5"/>
      <c r="CM164" s="14"/>
      <c r="CN164" s="13"/>
      <c r="CO164" s="5"/>
      <c r="CP164" s="14"/>
      <c r="CQ164" s="13"/>
      <c r="CR164" s="5"/>
      <c r="CS164" s="14"/>
      <c r="CT164" s="13"/>
      <c r="CU164" s="5"/>
      <c r="CV164" s="14"/>
      <c r="CW164" s="13"/>
      <c r="CX164" s="5"/>
      <c r="CY164" s="14"/>
      <c r="CZ164" s="13"/>
      <c r="DA164" s="5"/>
      <c r="DB164" s="14"/>
      <c r="DC164" s="13"/>
      <c r="DD164" s="5"/>
      <c r="DE164" s="14"/>
      <c r="DF164" s="5"/>
      <c r="DG164" s="5"/>
      <c r="DH164" s="5"/>
      <c r="DN164" s="12"/>
    </row>
    <row r="165" spans="3:122" ht="11.25" customHeight="1" thickTop="1" x14ac:dyDescent="0.2">
      <c r="I165" s="50"/>
      <c r="J165" s="50">
        <f>L164-J164</f>
        <v>0</v>
      </c>
      <c r="K165" s="50"/>
      <c r="L165" s="50"/>
      <c r="M165" s="50"/>
      <c r="N165" s="50">
        <f>L164-N164</f>
        <v>0</v>
      </c>
      <c r="O165" s="50"/>
      <c r="P165" s="50">
        <f>L164-P164</f>
        <v>0</v>
      </c>
      <c r="Q165" s="50"/>
      <c r="R165" s="50">
        <f>L164-R164</f>
        <v>0</v>
      </c>
      <c r="S165" s="50"/>
      <c r="T165" s="50">
        <f>L164-T164</f>
        <v>0</v>
      </c>
      <c r="U165" s="50"/>
      <c r="V165" s="50">
        <f>L164-V164</f>
        <v>0</v>
      </c>
    </row>
    <row r="166" spans="3:122" ht="11.25" customHeight="1" x14ac:dyDescent="0.2">
      <c r="I166" s="139" t="str">
        <f>ß101</f>
        <v>Kropp</v>
      </c>
      <c r="J166" s="139"/>
      <c r="K166" s="139" t="str">
        <f>ß102</f>
        <v>Nörnberg</v>
      </c>
      <c r="L166" s="139"/>
      <c r="M166" s="139" t="str">
        <f>ß103</f>
        <v>Bübel</v>
      </c>
      <c r="N166" s="139"/>
      <c r="O166" s="139" t="str">
        <f>ß104</f>
        <v>Schwicht.</v>
      </c>
      <c r="P166" s="139"/>
      <c r="Q166" s="139" t="str">
        <f>ß105</f>
        <v>Rontzko.</v>
      </c>
      <c r="R166" s="139"/>
      <c r="S166" s="139" t="str">
        <f>ß106</f>
        <v>Hauschildt</v>
      </c>
      <c r="T166" s="139"/>
      <c r="U166" s="139" t="str">
        <f>ß107</f>
        <v>Zerres</v>
      </c>
      <c r="V166" s="139"/>
      <c r="AF166" s="11"/>
      <c r="AG166" s="11"/>
      <c r="AH166" s="11"/>
      <c r="AI166" s="11"/>
      <c r="AJ166" s="11"/>
      <c r="AL166" s="5" t="str">
        <f>IF($I179=$AL179,I166,"x")</f>
        <v>Kropp</v>
      </c>
      <c r="AM166" s="5" t="str">
        <f>IF($K179=$AL179,K166,"x")</f>
        <v>Nörnberg</v>
      </c>
      <c r="AN166" s="5" t="str">
        <f>IF($M179=$AL179,M166,"x")</f>
        <v>Bübel</v>
      </c>
      <c r="AO166" s="5" t="str">
        <f>IF($O179=$AL179,O166,"x")</f>
        <v>Schwicht.</v>
      </c>
      <c r="AP166" s="5" t="str">
        <f>IF($Q179=$AL179,Q166,"x")</f>
        <v>Rontzko.</v>
      </c>
      <c r="AQ166" s="5" t="str">
        <f>IF($S179=$AL179,S166,"x")</f>
        <v>Hauschildt</v>
      </c>
      <c r="AR166" s="5" t="str">
        <f>IF($U179=$AL179,U166,"x")</f>
        <v>Zerres</v>
      </c>
      <c r="AS166" s="13" t="str">
        <f>IF($I179=$AM179,I166,"x")</f>
        <v>Kropp</v>
      </c>
      <c r="AT166" s="5" t="str">
        <f>IF($K179=$AM179,K166,"x")</f>
        <v>Nörnberg</v>
      </c>
      <c r="AU166" s="5" t="str">
        <f>IF($M179=$AM179,M166,"x")</f>
        <v>Bübel</v>
      </c>
      <c r="AV166" s="5" t="str">
        <f>IF($O179=$AM179,O166,"x")</f>
        <v>Schwicht.</v>
      </c>
      <c r="AW166" s="5" t="str">
        <f>IF($Q179=$AM179,Q166,"x")</f>
        <v>Rontzko.</v>
      </c>
      <c r="AX166" s="5" t="str">
        <f>IF($S179=$AM179,S166,"x")</f>
        <v>Hauschildt</v>
      </c>
      <c r="AY166" s="5" t="str">
        <f>IF($U179=$AM179,U166,"x")</f>
        <v>Zerres</v>
      </c>
      <c r="BD166" s="140" t="str">
        <f>ß01</f>
        <v>Bayern</v>
      </c>
      <c r="BE166" s="140"/>
      <c r="BF166" s="140"/>
      <c r="BG166" s="141" t="str">
        <f>ß02</f>
        <v>Leipzig</v>
      </c>
      <c r="BH166" s="141"/>
      <c r="BI166" s="141"/>
      <c r="BJ166" s="141" t="str">
        <f>ß03</f>
        <v>Leverk.</v>
      </c>
      <c r="BK166" s="141"/>
      <c r="BL166" s="141"/>
      <c r="BM166" s="141" t="str">
        <f>ß04</f>
        <v>Hoffenheim</v>
      </c>
      <c r="BN166" s="141"/>
      <c r="BO166" s="141"/>
      <c r="BP166" s="141" t="str">
        <f>ß05</f>
        <v>Frankfurt</v>
      </c>
      <c r="BQ166" s="141"/>
      <c r="BR166" s="141"/>
      <c r="BS166" s="141" t="str">
        <f>ß06</f>
        <v>Werder</v>
      </c>
      <c r="BT166" s="141"/>
      <c r="BU166" s="141"/>
      <c r="BV166" s="141" t="str">
        <f>ß07</f>
        <v>Freiburg</v>
      </c>
      <c r="BW166" s="141"/>
      <c r="BX166" s="141"/>
      <c r="BY166" s="141" t="str">
        <f>ß08</f>
        <v>Augsburg</v>
      </c>
      <c r="BZ166" s="141"/>
      <c r="CA166" s="141"/>
      <c r="CB166" s="141" t="str">
        <f>ß09</f>
        <v>Mainz</v>
      </c>
      <c r="CC166" s="141"/>
      <c r="CD166" s="141"/>
      <c r="CE166" s="141" t="str">
        <f>ß10</f>
        <v>Köln</v>
      </c>
      <c r="CF166" s="141"/>
      <c r="CG166" s="141"/>
      <c r="CH166" s="141" t="str">
        <f>ß11</f>
        <v>M'gladb.</v>
      </c>
      <c r="CI166" s="141"/>
      <c r="CJ166" s="141"/>
      <c r="CK166" s="141" t="str">
        <f>ß12</f>
        <v>HSV</v>
      </c>
      <c r="CL166" s="141"/>
      <c r="CM166" s="141"/>
      <c r="CN166" s="141" t="str">
        <f>ß13</f>
        <v>Union</v>
      </c>
      <c r="CO166" s="141"/>
      <c r="CP166" s="141"/>
      <c r="CQ166" s="141" t="str">
        <f>ß14</f>
        <v>Stuttgart</v>
      </c>
      <c r="CR166" s="141"/>
      <c r="CS166" s="141"/>
      <c r="CT166" s="141" t="str">
        <f>ß15</f>
        <v>St. Pauli</v>
      </c>
      <c r="CU166" s="141"/>
      <c r="CV166" s="141"/>
      <c r="CW166" s="141" t="str">
        <f>ß16</f>
        <v>Dortmund</v>
      </c>
      <c r="CX166" s="141"/>
      <c r="CY166" s="141"/>
      <c r="CZ166" s="141" t="str">
        <f>ß17</f>
        <v>Heidenheim</v>
      </c>
      <c r="DA166" s="141"/>
      <c r="DB166" s="141"/>
      <c r="DC166" s="141" t="str">
        <f>ß18</f>
        <v>Wolfsburg</v>
      </c>
      <c r="DD166" s="141"/>
      <c r="DE166" s="141"/>
    </row>
    <row r="167" spans="3:122" ht="11.25" customHeight="1" x14ac:dyDescent="0.2">
      <c r="C167" s="16" t="str">
        <f>Mannschaften!F12</f>
        <v>12. Spieltag</v>
      </c>
      <c r="D167" s="11"/>
      <c r="E167" s="17" t="str">
        <f>Mannschaften!G12</f>
        <v>28.-30.11.25</v>
      </c>
      <c r="I167" s="19">
        <f>RANK(Rang!A12,Rang!A12:G12)</f>
        <v>1</v>
      </c>
      <c r="J167" s="20">
        <f>RANK(Rang!H12,Rang!H12:N12)</f>
        <v>1</v>
      </c>
      <c r="K167" s="19">
        <f>RANK(Rang!B12,Rang!A12:G12)</f>
        <v>1</v>
      </c>
      <c r="L167" s="20">
        <f>RANK(Rang!I12,Rang!H12:N12)</f>
        <v>1</v>
      </c>
      <c r="M167" s="19">
        <f>RANK(Rang!C12,Rang!A12:G12)</f>
        <v>1</v>
      </c>
      <c r="N167" s="20">
        <f>RANK(Rang!J12,Rang!H12:N12)</f>
        <v>1</v>
      </c>
      <c r="O167" s="19">
        <f>RANK(Rang!D12,Rang!A12:G12)</f>
        <v>1</v>
      </c>
      <c r="P167" s="20">
        <f>RANK(Rang!K12,Rang!H12:N12)</f>
        <v>1</v>
      </c>
      <c r="Q167" s="19">
        <f>RANK(Rang!E12,Rang!A12:G12)</f>
        <v>1</v>
      </c>
      <c r="R167" s="20">
        <f>RANK(Rang!L12,Rang!H12:N12)</f>
        <v>1</v>
      </c>
      <c r="S167" s="19">
        <f>RANK(Rang!F12,Rang!A12:G12)</f>
        <v>1</v>
      </c>
      <c r="T167" s="20">
        <f>RANK(Rang!M12,Rang!H12:N12)</f>
        <v>1</v>
      </c>
      <c r="U167" s="19">
        <f>RANK(Rang!G12,Rang!A12:G12)</f>
        <v>1</v>
      </c>
      <c r="V167" s="20">
        <f>RANK(Rang!N12,Rang!H12:N12)</f>
        <v>1</v>
      </c>
      <c r="AF167" s="22"/>
      <c r="AG167" s="22"/>
      <c r="AH167" s="22"/>
      <c r="AI167" s="22"/>
      <c r="AJ167" s="22"/>
      <c r="AK167" s="21"/>
      <c r="AL167" s="21"/>
      <c r="AM167" s="21"/>
      <c r="AN167" s="21"/>
      <c r="AO167" s="21"/>
      <c r="AP167" s="21"/>
      <c r="AQ167" s="21"/>
      <c r="AR167" s="21"/>
      <c r="AS167" s="24"/>
      <c r="AT167" s="21"/>
      <c r="AU167" s="21"/>
      <c r="AV167" s="21"/>
      <c r="AW167" s="21"/>
      <c r="AX167" s="21"/>
      <c r="AY167" s="21"/>
      <c r="AZ167" s="21"/>
      <c r="BA167" s="21"/>
      <c r="BB167" s="21"/>
      <c r="BD167" s="25" t="s">
        <v>4</v>
      </c>
      <c r="BE167" s="25" t="s">
        <v>5</v>
      </c>
      <c r="BF167" s="26" t="s">
        <v>6</v>
      </c>
      <c r="BG167" s="27" t="s">
        <v>4</v>
      </c>
      <c r="BH167" s="25" t="s">
        <v>5</v>
      </c>
      <c r="BI167" s="26" t="s">
        <v>6</v>
      </c>
      <c r="BJ167" s="27" t="s">
        <v>4</v>
      </c>
      <c r="BK167" s="25" t="s">
        <v>5</v>
      </c>
      <c r="BL167" s="26" t="s">
        <v>6</v>
      </c>
      <c r="BM167" s="27" t="s">
        <v>4</v>
      </c>
      <c r="BN167" s="25" t="s">
        <v>5</v>
      </c>
      <c r="BO167" s="26" t="s">
        <v>6</v>
      </c>
      <c r="BP167" s="27" t="s">
        <v>4</v>
      </c>
      <c r="BQ167" s="25" t="s">
        <v>5</v>
      </c>
      <c r="BR167" s="26" t="s">
        <v>6</v>
      </c>
      <c r="BS167" s="27" t="s">
        <v>4</v>
      </c>
      <c r="BT167" s="25" t="s">
        <v>5</v>
      </c>
      <c r="BU167" s="26" t="s">
        <v>6</v>
      </c>
      <c r="BV167" s="27" t="s">
        <v>4</v>
      </c>
      <c r="BW167" s="25" t="s">
        <v>5</v>
      </c>
      <c r="BX167" s="26" t="s">
        <v>6</v>
      </c>
      <c r="BY167" s="27" t="s">
        <v>4</v>
      </c>
      <c r="BZ167" s="25" t="s">
        <v>5</v>
      </c>
      <c r="CA167" s="26" t="s">
        <v>6</v>
      </c>
      <c r="CB167" s="27" t="s">
        <v>4</v>
      </c>
      <c r="CC167" s="25" t="s">
        <v>5</v>
      </c>
      <c r="CD167" s="26" t="s">
        <v>6</v>
      </c>
      <c r="CE167" s="27" t="s">
        <v>4</v>
      </c>
      <c r="CF167" s="25" t="s">
        <v>5</v>
      </c>
      <c r="CG167" s="26" t="s">
        <v>6</v>
      </c>
      <c r="CH167" s="27" t="s">
        <v>4</v>
      </c>
      <c r="CI167" s="25" t="s">
        <v>5</v>
      </c>
      <c r="CJ167" s="26" t="s">
        <v>6</v>
      </c>
      <c r="CK167" s="27" t="s">
        <v>4</v>
      </c>
      <c r="CL167" s="25" t="s">
        <v>5</v>
      </c>
      <c r="CM167" s="26" t="s">
        <v>6</v>
      </c>
      <c r="CN167" s="27" t="s">
        <v>4</v>
      </c>
      <c r="CO167" s="25" t="s">
        <v>5</v>
      </c>
      <c r="CP167" s="26" t="s">
        <v>6</v>
      </c>
      <c r="CQ167" s="27" t="s">
        <v>4</v>
      </c>
      <c r="CR167" s="25" t="s">
        <v>5</v>
      </c>
      <c r="CS167" s="26" t="s">
        <v>6</v>
      </c>
      <c r="CT167" s="27" t="s">
        <v>4</v>
      </c>
      <c r="CU167" s="25" t="s">
        <v>5</v>
      </c>
      <c r="CV167" s="26" t="s">
        <v>6</v>
      </c>
      <c r="CW167" s="27" t="s">
        <v>4</v>
      </c>
      <c r="CX167" s="25" t="s">
        <v>5</v>
      </c>
      <c r="CY167" s="26" t="s">
        <v>6</v>
      </c>
      <c r="CZ167" s="27" t="s">
        <v>4</v>
      </c>
      <c r="DA167" s="25" t="s">
        <v>5</v>
      </c>
      <c r="DB167" s="26" t="s">
        <v>6</v>
      </c>
      <c r="DC167" s="27" t="s">
        <v>4</v>
      </c>
      <c r="DD167" s="25" t="s">
        <v>5</v>
      </c>
      <c r="DE167" s="26" t="s">
        <v>6</v>
      </c>
      <c r="DF167" s="21"/>
      <c r="DG167" s="21"/>
      <c r="DH167" s="21"/>
      <c r="DN167" s="136" t="s">
        <v>7</v>
      </c>
      <c r="DO167" s="136"/>
      <c r="DP167" s="136" t="s">
        <v>8</v>
      </c>
      <c r="DQ167" s="136"/>
      <c r="DR167" s="28"/>
    </row>
    <row r="168" spans="3:122" ht="11.25" customHeight="1" x14ac:dyDescent="0.2">
      <c r="C168" s="2" t="str">
        <f>ß01</f>
        <v>Bayern</v>
      </c>
      <c r="D168" s="3" t="s">
        <v>11</v>
      </c>
      <c r="E168" s="2" t="str">
        <f>ß15</f>
        <v>St. Pauli</v>
      </c>
      <c r="F168" s="29"/>
      <c r="G168" s="3" t="s">
        <v>12</v>
      </c>
      <c r="H168" s="30"/>
      <c r="I168" s="31"/>
      <c r="J168" s="32" t="str">
        <f t="shared" ref="J168:J176" si="159">IF($F168="","",(IF(I168="","",IF(I168=$DG168,(VLOOKUP($DH168,$DJ$3:$DK$11,2,FALSE())),0))))</f>
        <v/>
      </c>
      <c r="K168" s="31"/>
      <c r="L168" s="32" t="str">
        <f t="shared" ref="L168:L176" si="160">IF($F168="","",(IF(K168="","",IF(K168=$DG168,(VLOOKUP($DH168,$DJ$3:$DK$11,2,FALSE())),0))))</f>
        <v/>
      </c>
      <c r="M168" s="31"/>
      <c r="N168" s="32" t="str">
        <f t="shared" ref="N168:N176" si="161">IF($F168="","",(IF(M168="","",IF(M168=$DG168,(VLOOKUP($DH168,$DJ$3:$DK$11,2,FALSE())),0))))</f>
        <v/>
      </c>
      <c r="O168" s="31"/>
      <c r="P168" s="32" t="str">
        <f t="shared" ref="P168:P176" si="162">IF($F168="","",(IF(O168="","",IF(O168=$DG168,(VLOOKUP($DH168,$DJ$3:$DK$11,2,FALSE())),0))))</f>
        <v/>
      </c>
      <c r="Q168" s="31"/>
      <c r="R168" s="32" t="str">
        <f t="shared" ref="R168:R176" si="163">IF($F168="","",(IF(Q168="","",IF(Q168=$DG168,(VLOOKUP($DH168,$DJ$3:$DK$11,2,FALSE())),0))))</f>
        <v/>
      </c>
      <c r="S168" s="31"/>
      <c r="T168" s="32" t="str">
        <f t="shared" ref="T168:T176" si="164">IF($F168="","",(IF(S168="","",IF(S168=$DG168,(VLOOKUP($DH168,$DJ$3:$DK$11,2,FALSE())),0))))</f>
        <v/>
      </c>
      <c r="U168" s="31"/>
      <c r="V168" s="32" t="str">
        <f t="shared" ref="V168:V176" si="165">IF($F168="","",(IF(U168="","",IF(U168=$DG168,(VLOOKUP($DH168,$DJ$3:$DK$11,2,FALSE())),0))))</f>
        <v/>
      </c>
      <c r="AF168" s="34"/>
      <c r="AG168" s="34"/>
      <c r="AH168" s="34"/>
      <c r="AI168" s="34"/>
      <c r="AJ168" s="34"/>
      <c r="AN168" s="5"/>
      <c r="AO168" s="5"/>
      <c r="AP168" s="5"/>
      <c r="AQ168" s="5"/>
      <c r="AR168" s="5"/>
      <c r="AS168" s="13"/>
      <c r="AT168" s="5"/>
      <c r="AU168" s="5"/>
      <c r="AV168" s="5"/>
      <c r="AW168" s="5"/>
      <c r="AX168" s="5"/>
      <c r="AY168" s="5"/>
      <c r="BC168" s="6">
        <v>167</v>
      </c>
      <c r="BD168" s="35">
        <f>IF(ISERROR(MATCH(ß01,$C168:$C176,0)),"",MATCH(ß01,$C168:$C176,0))</f>
        <v>1</v>
      </c>
      <c r="BE168" s="35" t="str">
        <f>IF(ISERROR(MATCH(ß01,$E168:$E176,0)),"",MATCH(ß01,$E168:$E176,0))</f>
        <v/>
      </c>
      <c r="BF168" s="15">
        <f>SUM(BD168:BE168)+BC168</f>
        <v>168</v>
      </c>
      <c r="BG168" s="36" t="str">
        <f>IF(ISERROR(MATCH(ß02,$C168:$C176,0)),"",MATCH(ß02,$C168:$C176,0))</f>
        <v/>
      </c>
      <c r="BH168" s="35">
        <f>IF(ISERROR(MATCH(ß02,$E168:$E176,0)),"",MATCH(ß02,$E168:$E176,0))</f>
        <v>6</v>
      </c>
      <c r="BI168" s="15">
        <f>SUM(BG168:BH168)+BC168</f>
        <v>173</v>
      </c>
      <c r="BJ168" s="36">
        <f>IF(ISERROR(MATCH(ß03,$C168:$C176,0)),"",MATCH(ß03,$C168:$C176,0))</f>
        <v>2</v>
      </c>
      <c r="BK168" s="35" t="str">
        <f>IF(ISERROR(MATCH(ß03,$E168:$E176,0)),"",MATCH(ß03,$E168:$E176,0))</f>
        <v/>
      </c>
      <c r="BL168" s="15">
        <f>SUM(BJ168:BK168)+BC168</f>
        <v>169</v>
      </c>
      <c r="BM168" s="36">
        <f>IF(ISERROR(MATCH(ß04,$C168:$C176,0)),"",MATCH(ß04,$C168:$C176,0))</f>
        <v>8</v>
      </c>
      <c r="BN168" s="35" t="str">
        <f>IF(ISERROR(MATCH(ß04,$E168:$E176,0)),"",MATCH(ß04,$E168:$E176,0))</f>
        <v/>
      </c>
      <c r="BO168" s="15">
        <f>SUM(BM168:BN168)+BC168</f>
        <v>175</v>
      </c>
      <c r="BP168" s="36">
        <f>IF(ISERROR(MATCH(ß05,$C168:$C176,0)),"",MATCH(ß05,$C168:$C176,0))</f>
        <v>3</v>
      </c>
      <c r="BQ168" s="35" t="str">
        <f>IF(ISERROR(MATCH(ß05,$E168:$E176,0)),"",MATCH(ß05,$E168:$E176,0))</f>
        <v/>
      </c>
      <c r="BR168" s="15">
        <f>SUM(BP168:BQ168)+BC168</f>
        <v>170</v>
      </c>
      <c r="BS168" s="36">
        <f>IF(ISERROR(MATCH(ß06,$C168:$C176,0)),"",MATCH(ß06,$C168:$C176,0))</f>
        <v>5</v>
      </c>
      <c r="BT168" s="35" t="str">
        <f>IF(ISERROR(MATCH(ß06,$E168:$E176,0)),"",MATCH(ß06,$E168:$E176,0))</f>
        <v/>
      </c>
      <c r="BU168" s="15">
        <f>SUM(BS168:BT168)+BC168</f>
        <v>172</v>
      </c>
      <c r="BV168" s="36">
        <f>IF(ISERROR(MATCH(ß07,$C168:$C176,0)),"",MATCH(ß07,$C168:$C176,0))</f>
        <v>4</v>
      </c>
      <c r="BW168" s="35" t="str">
        <f>IF(ISERROR(MATCH(ß07,$E168:$E176,0)),"",MATCH(ß07,$E168:$E176,0))</f>
        <v/>
      </c>
      <c r="BX168" s="15">
        <f>SUM(BV168:BW168)+BC168</f>
        <v>171</v>
      </c>
      <c r="BY168" s="36" t="str">
        <f>IF(ISERROR(MATCH(ß08,$C168:$C176,0)),"",MATCH(ß08,$C168:$C176,0))</f>
        <v/>
      </c>
      <c r="BZ168" s="35">
        <f>IF(ISERROR(MATCH(ß08,$E168:$E176,0)),"",MATCH(ß08,$E168:$E176,0))</f>
        <v>8</v>
      </c>
      <c r="CA168" s="15">
        <f>SUM(BY168:BZ168)+BC168</f>
        <v>175</v>
      </c>
      <c r="CB168" s="36" t="str">
        <f>IF(ISERROR(MATCH(ß09,$C168:$C176,0)),"",MATCH(ß09,$C168:$C176,0))</f>
        <v/>
      </c>
      <c r="CC168" s="35">
        <f>IF(ISERROR(MATCH(ß09,$E168:$E176,0)),"",MATCH(ß09,$E168:$E176,0))</f>
        <v>4</v>
      </c>
      <c r="CD168" s="15">
        <f>SUM(CB168:CC168)+BC168</f>
        <v>171</v>
      </c>
      <c r="CE168" s="36" t="str">
        <f>IF(ISERROR(MATCH(ß10,$C168:$C176,0)),"",MATCH(ß10,$C168:$C176,0))</f>
        <v/>
      </c>
      <c r="CF168" s="35">
        <f>IF(ISERROR(MATCH(ß10,$E168:$E176,0)),"",MATCH(ß10,$E168:$E176,0))</f>
        <v>5</v>
      </c>
      <c r="CG168" s="15">
        <f>SUM(CE168:CF168)+BC168</f>
        <v>172</v>
      </c>
      <c r="CH168" s="36">
        <f>IF(ISERROR(MATCH(ß11,$C168:$C176,0)),"",MATCH(ß11,$C168:$C176,0))</f>
        <v>6</v>
      </c>
      <c r="CI168" s="35" t="str">
        <f>IF(ISERROR(MATCH(ß11,$E168:$E176,0)),"",MATCH(ß11,$E168:$E176,0))</f>
        <v/>
      </c>
      <c r="CJ168" s="15">
        <f>SUM(CH168:CI168)+BC168</f>
        <v>173</v>
      </c>
      <c r="CK168" s="36">
        <f>IF(ISERROR(MATCH(ß12,$C168:$C176,0)),"",MATCH(ß12,$C168:$C176,0))</f>
        <v>9</v>
      </c>
      <c r="CL168" s="35" t="str">
        <f>IF(ISERROR(MATCH(ß12,$E168:$E176,0)),"",MATCH(ß12,$E168:$E176,0))</f>
        <v/>
      </c>
      <c r="CM168" s="15">
        <f>SUM(CK168:CL168)+BC168</f>
        <v>176</v>
      </c>
      <c r="CN168" s="36">
        <f>IF(ISERROR(MATCH(ß13,$C168:$C176,0)),"",MATCH(ß13,$C168:$C176,0))</f>
        <v>7</v>
      </c>
      <c r="CO168" s="35" t="str">
        <f>IF(ISERROR(MATCH(ß13,$E168:$E176,0)),"",MATCH(ß13,$E168:$E176,0))</f>
        <v/>
      </c>
      <c r="CP168" s="15">
        <f>SUM(CN168:CO168)+BC168</f>
        <v>174</v>
      </c>
      <c r="CQ168" s="36" t="str">
        <f>IF(ISERROR(MATCH(ß14,$C168:$C176,0)),"",MATCH(ß14,$C168:$C176,0))</f>
        <v/>
      </c>
      <c r="CR168" s="35">
        <f>IF(ISERROR(MATCH(ß14,$E168:$E176,0)),"",MATCH(ß14,$E168:$E176,0))</f>
        <v>9</v>
      </c>
      <c r="CS168" s="15">
        <f>SUM(CQ168:CR168)+BC168</f>
        <v>176</v>
      </c>
      <c r="CT168" s="36" t="str">
        <f>IF(ISERROR(MATCH(ß15,$C168:$C176,0)),"",MATCH(ß15,$C168:$C176,0))</f>
        <v/>
      </c>
      <c r="CU168" s="35">
        <f>IF(ISERROR(MATCH(ß15,$E168:$E176,0)),"",MATCH(ß15,$E168:$E176,0))</f>
        <v>1</v>
      </c>
      <c r="CV168" s="15">
        <f>SUM(CT168:CU168)+BC168</f>
        <v>168</v>
      </c>
      <c r="CW168" s="36" t="str">
        <f>IF(ISERROR(MATCH(ß16,$C168:$C176,0)),"",MATCH(ß16,$C168:$C176,0))</f>
        <v/>
      </c>
      <c r="CX168" s="35">
        <f>IF(ISERROR(MATCH(ß16,$E168:$E176,0)),"",MATCH(ß16,$E168:$E176,0))</f>
        <v>2</v>
      </c>
      <c r="CY168" s="15">
        <f>SUM(CW168:CX168)+BC168</f>
        <v>169</v>
      </c>
      <c r="CZ168" s="36" t="str">
        <f>IF(ISERROR(MATCH(ß17,$C168:$C176,0)),"",MATCH(ß17,$C168:$C176,0))</f>
        <v/>
      </c>
      <c r="DA168" s="35">
        <f>IF(ISERROR(MATCH(ß17,$E168:$E176,0)),"",MATCH(ß17,$E168:$E176,0))</f>
        <v>7</v>
      </c>
      <c r="DB168" s="15">
        <f>SUM(CZ168:DA168)+BC168</f>
        <v>174</v>
      </c>
      <c r="DC168" s="36" t="str">
        <f>IF(ISERROR(MATCH(ß18,$C168:$C176,0)),"",MATCH(ß18,$C168:$C176,0))</f>
        <v/>
      </c>
      <c r="DD168" s="35">
        <f>IF(ISERROR(MATCH(ß18,$E168:$E176,0)),"",MATCH(ß18,$E168:$E176,0))</f>
        <v>3</v>
      </c>
      <c r="DE168" s="15">
        <f>SUM(DC168:DD168)+BC168</f>
        <v>170</v>
      </c>
      <c r="DG168" s="8" t="str">
        <f t="shared" ref="DG168:DG176" si="166">IF(F168="","",(IF(F168=H168,0,IF(F168&gt;H168,1,IF(F168&lt;H168,2)))))</f>
        <v/>
      </c>
      <c r="DH168" s="3">
        <f>COUNTIF(I168,DG168)+COUNTIF(K168,DG168)+COUNTIF(M168,DG168)+COUNTIF(O168,DG168)+COUNTIF(Q168,DG168)+COUNTIF(S168,DG168)+COUNTIF(U168,DG168)</f>
        <v>7</v>
      </c>
      <c r="DN168" s="12">
        <f t="shared" ref="DN168:DN176" si="167">F168</f>
        <v>0</v>
      </c>
      <c r="DO168" s="5">
        <f t="shared" ref="DO168:DO176" si="168">H168</f>
        <v>0</v>
      </c>
      <c r="DP168" s="5" t="str">
        <f t="shared" ref="DP168:DP176" si="169">IF($F168="","",IF(DN168&gt;DO168,3,IF(DN168&lt;DO168,0,1)))</f>
        <v/>
      </c>
      <c r="DQ168" s="5" t="str">
        <f t="shared" ref="DQ168:DQ176" si="170">IF($H168="","",IF(DO168&gt;DN168,3,IF(DO168&lt;DN168,0,1)))</f>
        <v/>
      </c>
      <c r="DR168" s="5">
        <f t="shared" ref="DR168:DR176" si="171">IF(ISBLANK(F168),0,1)</f>
        <v>0</v>
      </c>
    </row>
    <row r="169" spans="3:122" ht="11.25" customHeight="1" x14ac:dyDescent="0.2">
      <c r="C169" s="2" t="str">
        <f>ß03</f>
        <v>Leverk.</v>
      </c>
      <c r="D169" s="3" t="s">
        <v>11</v>
      </c>
      <c r="E169" s="2" t="str">
        <f>ß16</f>
        <v>Dortmund</v>
      </c>
      <c r="F169" s="29"/>
      <c r="G169" s="3" t="s">
        <v>12</v>
      </c>
      <c r="H169" s="30"/>
      <c r="I169" s="37"/>
      <c r="J169" s="38" t="str">
        <f t="shared" si="159"/>
        <v/>
      </c>
      <c r="K169" s="37"/>
      <c r="L169" s="38" t="str">
        <f t="shared" si="160"/>
        <v/>
      </c>
      <c r="M169" s="37"/>
      <c r="N169" s="38" t="str">
        <f t="shared" si="161"/>
        <v/>
      </c>
      <c r="O169" s="37"/>
      <c r="P169" s="38" t="str">
        <f t="shared" si="162"/>
        <v/>
      </c>
      <c r="Q169" s="37"/>
      <c r="R169" s="38" t="str">
        <f t="shared" si="163"/>
        <v/>
      </c>
      <c r="S169" s="37"/>
      <c r="T169" s="38" t="str">
        <f t="shared" si="164"/>
        <v/>
      </c>
      <c r="U169" s="37"/>
      <c r="V169" s="38" t="str">
        <f t="shared" si="165"/>
        <v/>
      </c>
      <c r="AF169" s="34"/>
      <c r="AG169" s="34"/>
      <c r="AH169" s="34"/>
      <c r="AI169" s="34"/>
      <c r="AJ169" s="34"/>
      <c r="DG169" s="8" t="str">
        <f t="shared" si="166"/>
        <v/>
      </c>
      <c r="DH169" s="3">
        <f t="shared" ref="DH169:DH176" si="172">COUNTIF(I169,DG169)+COUNTIF(K169,DG169)+COUNTIF(M169,DG169)+COUNTIF(O169,DG169)+COUNTIF(Q169,DG169)+COUNTIF(S169,DG169)+COUNTIF(U169,DG169)</f>
        <v>7</v>
      </c>
      <c r="DN169" s="12">
        <f t="shared" si="167"/>
        <v>0</v>
      </c>
      <c r="DO169" s="5">
        <f t="shared" si="168"/>
        <v>0</v>
      </c>
      <c r="DP169" s="5" t="str">
        <f t="shared" si="169"/>
        <v/>
      </c>
      <c r="DQ169" s="5" t="str">
        <f t="shared" si="170"/>
        <v/>
      </c>
      <c r="DR169" s="5">
        <f t="shared" si="171"/>
        <v>0</v>
      </c>
    </row>
    <row r="170" spans="3:122" ht="11.25" customHeight="1" x14ac:dyDescent="0.2">
      <c r="C170" s="2" t="str">
        <f>ß05</f>
        <v>Frankfurt</v>
      </c>
      <c r="D170" s="3" t="s">
        <v>11</v>
      </c>
      <c r="E170" s="2" t="str">
        <f>ß18</f>
        <v>Wolfsburg</v>
      </c>
      <c r="F170" s="29"/>
      <c r="G170" s="3" t="s">
        <v>12</v>
      </c>
      <c r="H170" s="30"/>
      <c r="I170" s="37"/>
      <c r="J170" s="38" t="str">
        <f t="shared" si="159"/>
        <v/>
      </c>
      <c r="K170" s="37"/>
      <c r="L170" s="38" t="str">
        <f t="shared" si="160"/>
        <v/>
      </c>
      <c r="M170" s="37"/>
      <c r="N170" s="38" t="str">
        <f t="shared" si="161"/>
        <v/>
      </c>
      <c r="O170" s="37"/>
      <c r="P170" s="38" t="str">
        <f t="shared" si="162"/>
        <v/>
      </c>
      <c r="Q170" s="37"/>
      <c r="R170" s="38" t="str">
        <f t="shared" si="163"/>
        <v/>
      </c>
      <c r="S170" s="37"/>
      <c r="T170" s="38" t="str">
        <f t="shared" si="164"/>
        <v/>
      </c>
      <c r="U170" s="37"/>
      <c r="V170" s="38" t="str">
        <f t="shared" si="165"/>
        <v/>
      </c>
      <c r="AF170" s="34"/>
      <c r="AG170" s="34"/>
      <c r="AH170" s="34"/>
      <c r="AI170" s="34"/>
      <c r="AJ170" s="34"/>
      <c r="DG170" s="8" t="str">
        <f t="shared" si="166"/>
        <v/>
      </c>
      <c r="DH170" s="3">
        <f t="shared" si="172"/>
        <v>7</v>
      </c>
      <c r="DN170" s="12">
        <f t="shared" si="167"/>
        <v>0</v>
      </c>
      <c r="DO170" s="5">
        <f t="shared" si="168"/>
        <v>0</v>
      </c>
      <c r="DP170" s="5" t="str">
        <f t="shared" si="169"/>
        <v/>
      </c>
      <c r="DQ170" s="5" t="str">
        <f t="shared" si="170"/>
        <v/>
      </c>
      <c r="DR170" s="5">
        <f t="shared" si="171"/>
        <v>0</v>
      </c>
    </row>
    <row r="171" spans="3:122" ht="11.25" customHeight="1" x14ac:dyDescent="0.2">
      <c r="C171" s="2" t="str">
        <f>ß07</f>
        <v>Freiburg</v>
      </c>
      <c r="D171" s="3" t="s">
        <v>11</v>
      </c>
      <c r="E171" s="2" t="str">
        <f>ß09</f>
        <v>Mainz</v>
      </c>
      <c r="F171" s="29"/>
      <c r="G171" s="3" t="s">
        <v>12</v>
      </c>
      <c r="H171" s="30"/>
      <c r="I171" s="37"/>
      <c r="J171" s="38" t="str">
        <f t="shared" si="159"/>
        <v/>
      </c>
      <c r="K171" s="37"/>
      <c r="L171" s="38" t="str">
        <f t="shared" si="160"/>
        <v/>
      </c>
      <c r="M171" s="37"/>
      <c r="N171" s="38" t="str">
        <f t="shared" si="161"/>
        <v/>
      </c>
      <c r="O171" s="37"/>
      <c r="P171" s="38" t="str">
        <f t="shared" si="162"/>
        <v/>
      </c>
      <c r="Q171" s="37"/>
      <c r="R171" s="38" t="str">
        <f t="shared" si="163"/>
        <v/>
      </c>
      <c r="S171" s="37"/>
      <c r="T171" s="38" t="str">
        <f t="shared" si="164"/>
        <v/>
      </c>
      <c r="U171" s="37"/>
      <c r="V171" s="38" t="str">
        <f t="shared" si="165"/>
        <v/>
      </c>
      <c r="AF171" s="34"/>
      <c r="AG171" s="34"/>
      <c r="AH171" s="34"/>
      <c r="AI171" s="34"/>
      <c r="AJ171" s="34"/>
      <c r="DG171" s="8" t="str">
        <f t="shared" si="166"/>
        <v/>
      </c>
      <c r="DH171" s="3">
        <f t="shared" si="172"/>
        <v>7</v>
      </c>
      <c r="DN171" s="12">
        <f t="shared" si="167"/>
        <v>0</v>
      </c>
      <c r="DO171" s="5">
        <f t="shared" si="168"/>
        <v>0</v>
      </c>
      <c r="DP171" s="5" t="str">
        <f t="shared" si="169"/>
        <v/>
      </c>
      <c r="DQ171" s="5" t="str">
        <f t="shared" si="170"/>
        <v/>
      </c>
      <c r="DR171" s="5">
        <f t="shared" si="171"/>
        <v>0</v>
      </c>
    </row>
    <row r="172" spans="3:122" ht="11.25" customHeight="1" x14ac:dyDescent="0.2">
      <c r="C172" s="2" t="str">
        <f>ß06</f>
        <v>Werder</v>
      </c>
      <c r="D172" s="3" t="s">
        <v>11</v>
      </c>
      <c r="E172" s="2" t="str">
        <f>ß10</f>
        <v>Köln</v>
      </c>
      <c r="F172" s="29"/>
      <c r="G172" s="3" t="s">
        <v>12</v>
      </c>
      <c r="H172" s="30"/>
      <c r="I172" s="37"/>
      <c r="J172" s="38" t="str">
        <f t="shared" si="159"/>
        <v/>
      </c>
      <c r="K172" s="37"/>
      <c r="L172" s="38" t="str">
        <f t="shared" si="160"/>
        <v/>
      </c>
      <c r="M172" s="37"/>
      <c r="N172" s="38" t="str">
        <f t="shared" si="161"/>
        <v/>
      </c>
      <c r="O172" s="37"/>
      <c r="P172" s="38" t="str">
        <f t="shared" si="162"/>
        <v/>
      </c>
      <c r="Q172" s="37"/>
      <c r="R172" s="38" t="str">
        <f t="shared" si="163"/>
        <v/>
      </c>
      <c r="S172" s="37"/>
      <c r="T172" s="38" t="str">
        <f t="shared" si="164"/>
        <v/>
      </c>
      <c r="U172" s="37"/>
      <c r="V172" s="38" t="str">
        <f t="shared" si="165"/>
        <v/>
      </c>
      <c r="AF172" s="34"/>
      <c r="AG172" s="34"/>
      <c r="AH172" s="34"/>
      <c r="AI172" s="34"/>
      <c r="AJ172" s="34"/>
      <c r="DG172" s="8" t="str">
        <f t="shared" si="166"/>
        <v/>
      </c>
      <c r="DH172" s="3">
        <f t="shared" si="172"/>
        <v>7</v>
      </c>
      <c r="DN172" s="12">
        <f t="shared" si="167"/>
        <v>0</v>
      </c>
      <c r="DO172" s="5">
        <f t="shared" si="168"/>
        <v>0</v>
      </c>
      <c r="DP172" s="5" t="str">
        <f t="shared" si="169"/>
        <v/>
      </c>
      <c r="DQ172" s="5" t="str">
        <f t="shared" si="170"/>
        <v/>
      </c>
      <c r="DR172" s="5">
        <f t="shared" si="171"/>
        <v>0</v>
      </c>
    </row>
    <row r="173" spans="3:122" ht="11.25" customHeight="1" x14ac:dyDescent="0.2">
      <c r="C173" s="2" t="str">
        <f>ß11</f>
        <v>M'gladb.</v>
      </c>
      <c r="D173" s="3" t="s">
        <v>11</v>
      </c>
      <c r="E173" s="2" t="str">
        <f>ß02</f>
        <v>Leipzig</v>
      </c>
      <c r="F173" s="29"/>
      <c r="G173" s="3" t="s">
        <v>12</v>
      </c>
      <c r="H173" s="30"/>
      <c r="I173" s="37"/>
      <c r="J173" s="38" t="str">
        <f t="shared" si="159"/>
        <v/>
      </c>
      <c r="K173" s="37"/>
      <c r="L173" s="38" t="str">
        <f t="shared" si="160"/>
        <v/>
      </c>
      <c r="M173" s="37"/>
      <c r="N173" s="38" t="str">
        <f t="shared" si="161"/>
        <v/>
      </c>
      <c r="O173" s="37"/>
      <c r="P173" s="38" t="str">
        <f t="shared" si="162"/>
        <v/>
      </c>
      <c r="Q173" s="37"/>
      <c r="R173" s="38" t="str">
        <f t="shared" si="163"/>
        <v/>
      </c>
      <c r="S173" s="37"/>
      <c r="T173" s="38" t="str">
        <f t="shared" si="164"/>
        <v/>
      </c>
      <c r="U173" s="37"/>
      <c r="V173" s="38" t="str">
        <f t="shared" si="165"/>
        <v/>
      </c>
      <c r="AF173" s="34"/>
      <c r="AG173" s="34"/>
      <c r="AH173" s="34"/>
      <c r="AI173" s="34"/>
      <c r="AJ173" s="34"/>
      <c r="DG173" s="8" t="str">
        <f t="shared" si="166"/>
        <v/>
      </c>
      <c r="DH173" s="3">
        <f t="shared" si="172"/>
        <v>7</v>
      </c>
      <c r="DN173" s="12">
        <f t="shared" si="167"/>
        <v>0</v>
      </c>
      <c r="DO173" s="5">
        <f t="shared" si="168"/>
        <v>0</v>
      </c>
      <c r="DP173" s="5" t="str">
        <f t="shared" si="169"/>
        <v/>
      </c>
      <c r="DQ173" s="5" t="str">
        <f t="shared" si="170"/>
        <v/>
      </c>
      <c r="DR173" s="5">
        <f t="shared" si="171"/>
        <v>0</v>
      </c>
    </row>
    <row r="174" spans="3:122" ht="11.25" customHeight="1" x14ac:dyDescent="0.2">
      <c r="C174" s="2" t="str">
        <f>ß13</f>
        <v>Union</v>
      </c>
      <c r="D174" s="3" t="s">
        <v>11</v>
      </c>
      <c r="E174" s="2" t="str">
        <f>ß17</f>
        <v>Heidenheim</v>
      </c>
      <c r="F174" s="29"/>
      <c r="G174" s="3" t="s">
        <v>12</v>
      </c>
      <c r="H174" s="30"/>
      <c r="I174" s="37"/>
      <c r="J174" s="38" t="str">
        <f t="shared" si="159"/>
        <v/>
      </c>
      <c r="K174" s="37"/>
      <c r="L174" s="38" t="str">
        <f t="shared" si="160"/>
        <v/>
      </c>
      <c r="M174" s="37"/>
      <c r="N174" s="38" t="str">
        <f t="shared" si="161"/>
        <v/>
      </c>
      <c r="O174" s="37"/>
      <c r="P174" s="38" t="str">
        <f t="shared" si="162"/>
        <v/>
      </c>
      <c r="Q174" s="37"/>
      <c r="R174" s="38" t="str">
        <f t="shared" si="163"/>
        <v/>
      </c>
      <c r="S174" s="37"/>
      <c r="T174" s="38" t="str">
        <f t="shared" si="164"/>
        <v/>
      </c>
      <c r="U174" s="37"/>
      <c r="V174" s="38" t="str">
        <f t="shared" si="165"/>
        <v/>
      </c>
      <c r="AF174" s="34"/>
      <c r="AG174" s="34"/>
      <c r="AH174" s="34"/>
      <c r="AI174" s="34"/>
      <c r="AJ174" s="34"/>
      <c r="DG174" s="8" t="str">
        <f t="shared" si="166"/>
        <v/>
      </c>
      <c r="DH174" s="3">
        <f t="shared" si="172"/>
        <v>7</v>
      </c>
      <c r="DN174" s="12">
        <f t="shared" si="167"/>
        <v>0</v>
      </c>
      <c r="DO174" s="5">
        <f t="shared" si="168"/>
        <v>0</v>
      </c>
      <c r="DP174" s="5" t="str">
        <f t="shared" si="169"/>
        <v/>
      </c>
      <c r="DQ174" s="5" t="str">
        <f t="shared" si="170"/>
        <v/>
      </c>
      <c r="DR174" s="5">
        <f t="shared" si="171"/>
        <v>0</v>
      </c>
    </row>
    <row r="175" spans="3:122" ht="11.25" customHeight="1" x14ac:dyDescent="0.2">
      <c r="C175" s="2" t="str">
        <f>ß04</f>
        <v>Hoffenheim</v>
      </c>
      <c r="D175" s="3" t="s">
        <v>11</v>
      </c>
      <c r="E175" s="2" t="str">
        <f>ß08</f>
        <v>Augsburg</v>
      </c>
      <c r="F175" s="29"/>
      <c r="G175" s="3" t="s">
        <v>12</v>
      </c>
      <c r="H175" s="30"/>
      <c r="I175" s="37"/>
      <c r="J175" s="38" t="str">
        <f t="shared" si="159"/>
        <v/>
      </c>
      <c r="K175" s="37"/>
      <c r="L175" s="38" t="str">
        <f t="shared" si="160"/>
        <v/>
      </c>
      <c r="M175" s="37"/>
      <c r="N175" s="38" t="str">
        <f t="shared" si="161"/>
        <v/>
      </c>
      <c r="O175" s="37"/>
      <c r="P175" s="38" t="str">
        <f t="shared" si="162"/>
        <v/>
      </c>
      <c r="Q175" s="37"/>
      <c r="R175" s="38" t="str">
        <f t="shared" si="163"/>
        <v/>
      </c>
      <c r="S175" s="37"/>
      <c r="T175" s="38" t="str">
        <f t="shared" si="164"/>
        <v/>
      </c>
      <c r="U175" s="37"/>
      <c r="V175" s="38" t="str">
        <f t="shared" si="165"/>
        <v/>
      </c>
      <c r="AF175" s="34"/>
      <c r="AG175" s="34"/>
      <c r="AH175" s="34"/>
      <c r="AI175" s="34"/>
      <c r="AJ175" s="34"/>
      <c r="DG175" s="8" t="str">
        <f t="shared" si="166"/>
        <v/>
      </c>
      <c r="DH175" s="3">
        <f t="shared" si="172"/>
        <v>7</v>
      </c>
      <c r="DN175" s="12">
        <f t="shared" si="167"/>
        <v>0</v>
      </c>
      <c r="DO175" s="5">
        <f t="shared" si="168"/>
        <v>0</v>
      </c>
      <c r="DP175" s="5" t="str">
        <f t="shared" si="169"/>
        <v/>
      </c>
      <c r="DQ175" s="5" t="str">
        <f t="shared" si="170"/>
        <v/>
      </c>
      <c r="DR175" s="5">
        <f t="shared" si="171"/>
        <v>0</v>
      </c>
    </row>
    <row r="176" spans="3:122" ht="11.25" customHeight="1" thickBot="1" x14ac:dyDescent="0.25">
      <c r="C176" s="2" t="str">
        <f>ß12</f>
        <v>HSV</v>
      </c>
      <c r="D176" s="3" t="s">
        <v>11</v>
      </c>
      <c r="E176" s="2" t="str">
        <f>ß14</f>
        <v>Stuttgart</v>
      </c>
      <c r="F176" s="29"/>
      <c r="G176" s="3" t="s">
        <v>12</v>
      </c>
      <c r="H176" s="30"/>
      <c r="I176" s="37"/>
      <c r="J176" s="38" t="str">
        <f t="shared" si="159"/>
        <v/>
      </c>
      <c r="K176" s="37"/>
      <c r="L176" s="38" t="str">
        <f t="shared" si="160"/>
        <v/>
      </c>
      <c r="M176" s="37"/>
      <c r="N176" s="38" t="str">
        <f t="shared" si="161"/>
        <v/>
      </c>
      <c r="O176" s="37"/>
      <c r="P176" s="38" t="str">
        <f t="shared" si="162"/>
        <v/>
      </c>
      <c r="Q176" s="37"/>
      <c r="R176" s="38" t="str">
        <f t="shared" si="163"/>
        <v/>
      </c>
      <c r="S176" s="37"/>
      <c r="T176" s="38" t="str">
        <f t="shared" si="164"/>
        <v/>
      </c>
      <c r="U176" s="37"/>
      <c r="V176" s="38" t="str">
        <f t="shared" si="165"/>
        <v/>
      </c>
      <c r="AF176" s="34"/>
      <c r="AG176" s="34"/>
      <c r="AH176" s="34"/>
      <c r="AI176" s="34"/>
      <c r="AJ176" s="34"/>
      <c r="DG176" s="8" t="str">
        <f t="shared" si="166"/>
        <v/>
      </c>
      <c r="DH176" s="3">
        <f t="shared" si="172"/>
        <v>7</v>
      </c>
      <c r="DN176" s="12">
        <f t="shared" si="167"/>
        <v>0</v>
      </c>
      <c r="DO176" s="5">
        <f t="shared" si="168"/>
        <v>0</v>
      </c>
      <c r="DP176" s="5" t="str">
        <f t="shared" si="169"/>
        <v/>
      </c>
      <c r="DQ176" s="5" t="str">
        <f t="shared" si="170"/>
        <v/>
      </c>
      <c r="DR176" s="5">
        <f t="shared" si="171"/>
        <v>0</v>
      </c>
    </row>
    <row r="177" spans="3:122" ht="11.25" customHeight="1" thickTop="1" x14ac:dyDescent="0.2">
      <c r="C177" s="41">
        <f>(I177+K177+M177+O177+Q177+S177+U177)</f>
        <v>0</v>
      </c>
      <c r="E177" s="42">
        <f>C177/8</f>
        <v>0</v>
      </c>
      <c r="F177" s="41">
        <f>SUM(F168:F176)</f>
        <v>0</v>
      </c>
      <c r="G177" s="2"/>
      <c r="H177" s="43">
        <f>SUM(H168:H176)</f>
        <v>0</v>
      </c>
      <c r="I177" s="44">
        <f>COUNTIF(J168:J176,"&gt;0")</f>
        <v>0</v>
      </c>
      <c r="J177" s="45">
        <f>I177+J162</f>
        <v>0</v>
      </c>
      <c r="K177" s="44">
        <f>COUNTIF(L168:L176,"&gt;0")</f>
        <v>0</v>
      </c>
      <c r="L177" s="45">
        <f>K177+L162</f>
        <v>0</v>
      </c>
      <c r="M177" s="44">
        <f>COUNTIF(N168:N176,"&gt;0")</f>
        <v>0</v>
      </c>
      <c r="N177" s="45">
        <f>M177+N162</f>
        <v>0</v>
      </c>
      <c r="O177" s="44">
        <f>COUNTIF(P168:P176,"&gt;0")</f>
        <v>0</v>
      </c>
      <c r="P177" s="45">
        <f>O177+P162</f>
        <v>0</v>
      </c>
      <c r="Q177" s="44">
        <f>COUNTIF(R168:R176,"&gt;0")</f>
        <v>0</v>
      </c>
      <c r="R177" s="45">
        <f>Q177+R162</f>
        <v>0</v>
      </c>
      <c r="S177" s="44">
        <f>COUNTIF(T168:T176,"&gt;0")</f>
        <v>0</v>
      </c>
      <c r="T177" s="45">
        <f>S177+T162</f>
        <v>0</v>
      </c>
      <c r="U177" s="44">
        <f>COUNTIF(V168:V176,"&gt;0")</f>
        <v>0</v>
      </c>
      <c r="V177" s="45">
        <f>U177+V162</f>
        <v>0</v>
      </c>
      <c r="AF177" s="34"/>
      <c r="AG177" s="34"/>
      <c r="AH177" s="34"/>
      <c r="AI177" s="34"/>
      <c r="AJ177" s="34"/>
    </row>
    <row r="178" spans="3:122" ht="11.25" customHeight="1" x14ac:dyDescent="0.2">
      <c r="C178" s="41">
        <f>(I178+K178+M178+O178+Q178+S178+U178)</f>
        <v>0</v>
      </c>
      <c r="E178" s="42">
        <f>C178/8</f>
        <v>0</v>
      </c>
      <c r="F178" s="137">
        <f>F177+H177</f>
        <v>0</v>
      </c>
      <c r="G178" s="137"/>
      <c r="H178" s="137"/>
      <c r="I178" s="46">
        <f>SUM(J168:J176)</f>
        <v>0</v>
      </c>
      <c r="J178" s="47">
        <f>I178+J163</f>
        <v>0</v>
      </c>
      <c r="K178" s="46">
        <f>SUM(L168:L176)</f>
        <v>0</v>
      </c>
      <c r="L178" s="47">
        <f>K178+L163</f>
        <v>0</v>
      </c>
      <c r="M178" s="46">
        <f>SUM(N168:N176)</f>
        <v>0</v>
      </c>
      <c r="N178" s="47">
        <f>M178+N163</f>
        <v>0</v>
      </c>
      <c r="O178" s="46">
        <f>SUM(P168:P176)</f>
        <v>0</v>
      </c>
      <c r="P178" s="47">
        <f>O178+P163</f>
        <v>0</v>
      </c>
      <c r="Q178" s="46">
        <f>SUM(R168:R176)</f>
        <v>0</v>
      </c>
      <c r="R178" s="47">
        <f>Q178+R163</f>
        <v>0</v>
      </c>
      <c r="S178" s="46">
        <f>SUM(T168:T176)</f>
        <v>0</v>
      </c>
      <c r="T178" s="47">
        <f>S178+T163</f>
        <v>0</v>
      </c>
      <c r="U178" s="46">
        <f>SUM(V168:V176)</f>
        <v>0</v>
      </c>
      <c r="V178" s="47">
        <f>U178+V163</f>
        <v>0</v>
      </c>
      <c r="AF178" s="34"/>
      <c r="AG178" s="34"/>
      <c r="AH178" s="34"/>
      <c r="AI178" s="34"/>
      <c r="AJ178" s="34"/>
    </row>
    <row r="179" spans="3:122" ht="11.25" customHeight="1" thickBot="1" x14ac:dyDescent="0.25">
      <c r="C179" s="41">
        <f>(I179+K179+M179+O179+Q179+S179+U179)</f>
        <v>0</v>
      </c>
      <c r="E179" s="42">
        <f>C179/8</f>
        <v>0</v>
      </c>
      <c r="F179" s="138">
        <f>F178+F164</f>
        <v>0</v>
      </c>
      <c r="G179" s="138"/>
      <c r="H179" s="138"/>
      <c r="I179" s="48">
        <f>I177*I178</f>
        <v>0</v>
      </c>
      <c r="J179" s="49">
        <f>I179+J164</f>
        <v>0</v>
      </c>
      <c r="K179" s="48">
        <f>K177*K178</f>
        <v>0</v>
      </c>
      <c r="L179" s="49">
        <f>K179+L164</f>
        <v>0</v>
      </c>
      <c r="M179" s="48">
        <f>M177*M178</f>
        <v>0</v>
      </c>
      <c r="N179" s="49">
        <f>M179+N164</f>
        <v>0</v>
      </c>
      <c r="O179" s="48">
        <f>O177*O178</f>
        <v>0</v>
      </c>
      <c r="P179" s="49">
        <f>O179+P164</f>
        <v>0</v>
      </c>
      <c r="Q179" s="48">
        <f>Q177*Q178</f>
        <v>0</v>
      </c>
      <c r="R179" s="49">
        <f>Q179+R164</f>
        <v>0</v>
      </c>
      <c r="S179" s="48">
        <f>S177*S178</f>
        <v>0</v>
      </c>
      <c r="T179" s="49">
        <f>S179+T164</f>
        <v>0</v>
      </c>
      <c r="U179" s="48">
        <f>U177*U178</f>
        <v>0</v>
      </c>
      <c r="V179" s="49">
        <f>U179+V164</f>
        <v>0</v>
      </c>
      <c r="AF179" s="34"/>
      <c r="AG179" s="34"/>
      <c r="AH179" s="34"/>
      <c r="AI179" s="34"/>
      <c r="AJ179" s="34"/>
      <c r="AL179" s="5">
        <f>MAX(I179,K179,M179,O179,Q179,S179,U179)</f>
        <v>0</v>
      </c>
      <c r="AM179" s="5">
        <f>MIN(I179,K179,M179,O179,Q179,S179,U179)</f>
        <v>0</v>
      </c>
      <c r="AN179" s="5"/>
      <c r="AO179" s="5"/>
      <c r="AP179" s="5"/>
      <c r="AQ179" s="5"/>
      <c r="AR179" s="5"/>
      <c r="AS179" s="13"/>
      <c r="AT179" s="5"/>
      <c r="AU179" s="5"/>
      <c r="AV179" s="5"/>
      <c r="AW179" s="5"/>
      <c r="AX179" s="5"/>
      <c r="AY179" s="5"/>
      <c r="AZ179" s="5"/>
      <c r="BA179" s="5"/>
      <c r="BB179" s="5"/>
      <c r="BD179" s="5"/>
      <c r="BE179" s="5"/>
      <c r="BF179" s="14"/>
      <c r="BG179" s="13"/>
      <c r="BH179" s="5"/>
      <c r="BI179" s="14"/>
      <c r="BJ179" s="13"/>
      <c r="BK179" s="5"/>
      <c r="BL179" s="14"/>
      <c r="BM179" s="13"/>
      <c r="BN179" s="5"/>
      <c r="BO179" s="14"/>
      <c r="BP179" s="13"/>
      <c r="BQ179" s="5"/>
      <c r="BR179" s="14"/>
      <c r="BS179" s="13"/>
      <c r="BT179" s="5"/>
      <c r="BU179" s="14"/>
      <c r="BV179" s="13"/>
      <c r="BW179" s="5"/>
      <c r="BX179" s="14"/>
      <c r="BY179" s="13"/>
      <c r="BZ179" s="5"/>
      <c r="CA179" s="14"/>
      <c r="CB179" s="13"/>
      <c r="CC179" s="5"/>
      <c r="CD179" s="14"/>
      <c r="CE179" s="13"/>
      <c r="CF179" s="5"/>
      <c r="CG179" s="14"/>
      <c r="CH179" s="13"/>
      <c r="CI179" s="5"/>
      <c r="CJ179" s="14"/>
      <c r="CK179" s="13"/>
      <c r="CL179" s="5"/>
      <c r="CM179" s="14"/>
      <c r="CN179" s="13"/>
      <c r="CO179" s="5"/>
      <c r="CP179" s="14"/>
      <c r="CQ179" s="13"/>
      <c r="CR179" s="5"/>
      <c r="CS179" s="14"/>
      <c r="CT179" s="13"/>
      <c r="CU179" s="5"/>
      <c r="CV179" s="14"/>
      <c r="CW179" s="13"/>
      <c r="CX179" s="5"/>
      <c r="CY179" s="14"/>
      <c r="CZ179" s="13"/>
      <c r="DA179" s="5"/>
      <c r="DB179" s="14"/>
      <c r="DC179" s="13"/>
      <c r="DD179" s="5"/>
      <c r="DE179" s="14"/>
      <c r="DF179" s="5"/>
      <c r="DG179" s="5"/>
      <c r="DH179" s="5"/>
    </row>
    <row r="180" spans="3:122" ht="11.25" customHeight="1" thickTop="1" x14ac:dyDescent="0.2">
      <c r="I180" s="50"/>
      <c r="J180" s="50">
        <f>L179-J179</f>
        <v>0</v>
      </c>
      <c r="K180" s="50"/>
      <c r="L180" s="50"/>
      <c r="M180" s="50"/>
      <c r="N180" s="50">
        <f>L179-N179</f>
        <v>0</v>
      </c>
      <c r="O180" s="50"/>
      <c r="P180" s="50">
        <f>L179-P179</f>
        <v>0</v>
      </c>
      <c r="Q180" s="50"/>
      <c r="R180" s="50">
        <f>L179-R179</f>
        <v>0</v>
      </c>
      <c r="S180" s="50"/>
      <c r="T180" s="50">
        <f>L179-T179</f>
        <v>0</v>
      </c>
      <c r="U180" s="50"/>
      <c r="V180" s="50">
        <f>L179-V179</f>
        <v>0</v>
      </c>
    </row>
    <row r="181" spans="3:122" ht="11.25" customHeight="1" x14ac:dyDescent="0.2">
      <c r="I181" s="139" t="str">
        <f>ß101</f>
        <v>Kropp</v>
      </c>
      <c r="J181" s="139"/>
      <c r="K181" s="139" t="str">
        <f>ß102</f>
        <v>Nörnberg</v>
      </c>
      <c r="L181" s="139"/>
      <c r="M181" s="139" t="str">
        <f>ß103</f>
        <v>Bübel</v>
      </c>
      <c r="N181" s="139"/>
      <c r="O181" s="139" t="str">
        <f>ß104</f>
        <v>Schwicht.</v>
      </c>
      <c r="P181" s="139"/>
      <c r="Q181" s="139" t="str">
        <f>ß105</f>
        <v>Rontzko.</v>
      </c>
      <c r="R181" s="139"/>
      <c r="S181" s="139" t="str">
        <f>ß106</f>
        <v>Hauschildt</v>
      </c>
      <c r="T181" s="139"/>
      <c r="U181" s="139" t="str">
        <f>ß107</f>
        <v>Zerres</v>
      </c>
      <c r="V181" s="139"/>
      <c r="AF181" s="11"/>
      <c r="AG181" s="11"/>
      <c r="AH181" s="11"/>
      <c r="AI181" s="11"/>
      <c r="AJ181" s="11"/>
      <c r="AL181" s="5" t="str">
        <f>IF($I194=$AL194,I181,"x")</f>
        <v>Kropp</v>
      </c>
      <c r="AM181" s="5" t="str">
        <f>IF($K194=$AL194,K181,"x")</f>
        <v>Nörnberg</v>
      </c>
      <c r="AN181" s="5" t="str">
        <f>IF($M194=$AL194,M181,"x")</f>
        <v>Bübel</v>
      </c>
      <c r="AO181" s="5" t="str">
        <f>IF($O194=$AL194,O181,"x")</f>
        <v>Schwicht.</v>
      </c>
      <c r="AP181" s="5" t="str">
        <f>IF($Q194=$AL194,Q181,"x")</f>
        <v>Rontzko.</v>
      </c>
      <c r="AQ181" s="5" t="str">
        <f>IF($S194=$AL194,S181,"x")</f>
        <v>Hauschildt</v>
      </c>
      <c r="AR181" s="5" t="str">
        <f>IF($U194=$AL194,U181,"x")</f>
        <v>Zerres</v>
      </c>
      <c r="AS181" s="13" t="str">
        <f>IF($I194=$AM194,I181,"x")</f>
        <v>Kropp</v>
      </c>
      <c r="AT181" s="5" t="str">
        <f>IF($K194=$AM194,K181,"x")</f>
        <v>Nörnberg</v>
      </c>
      <c r="AU181" s="5" t="str">
        <f>IF($M194=$AM194,M181,"x")</f>
        <v>Bübel</v>
      </c>
      <c r="AV181" s="5" t="str">
        <f>IF($O194=$AM194,O181,"x")</f>
        <v>Schwicht.</v>
      </c>
      <c r="AW181" s="5" t="str">
        <f>IF($Q194=$AM194,Q181,"x")</f>
        <v>Rontzko.</v>
      </c>
      <c r="AX181" s="5" t="str">
        <f>IF($S194=$AM194,S181,"x")</f>
        <v>Hauschildt</v>
      </c>
      <c r="AY181" s="5" t="str">
        <f>IF($U194=$AM194,U181,"x")</f>
        <v>Zerres</v>
      </c>
      <c r="BD181" s="140" t="str">
        <f>ß01</f>
        <v>Bayern</v>
      </c>
      <c r="BE181" s="140"/>
      <c r="BF181" s="140"/>
      <c r="BG181" s="141" t="str">
        <f>ß02</f>
        <v>Leipzig</v>
      </c>
      <c r="BH181" s="141"/>
      <c r="BI181" s="141"/>
      <c r="BJ181" s="141" t="str">
        <f>ß03</f>
        <v>Leverk.</v>
      </c>
      <c r="BK181" s="141"/>
      <c r="BL181" s="141"/>
      <c r="BM181" s="141" t="str">
        <f>ß04</f>
        <v>Hoffenheim</v>
      </c>
      <c r="BN181" s="141"/>
      <c r="BO181" s="141"/>
      <c r="BP181" s="141" t="str">
        <f>ß05</f>
        <v>Frankfurt</v>
      </c>
      <c r="BQ181" s="141"/>
      <c r="BR181" s="141"/>
      <c r="BS181" s="141" t="str">
        <f>ß06</f>
        <v>Werder</v>
      </c>
      <c r="BT181" s="141"/>
      <c r="BU181" s="141"/>
      <c r="BV181" s="141" t="str">
        <f>ß07</f>
        <v>Freiburg</v>
      </c>
      <c r="BW181" s="141"/>
      <c r="BX181" s="141"/>
      <c r="BY181" s="141" t="str">
        <f>ß08</f>
        <v>Augsburg</v>
      </c>
      <c r="BZ181" s="141"/>
      <c r="CA181" s="141"/>
      <c r="CB181" s="141" t="str">
        <f>ß09</f>
        <v>Mainz</v>
      </c>
      <c r="CC181" s="141"/>
      <c r="CD181" s="141"/>
      <c r="CE181" s="141" t="str">
        <f>ß10</f>
        <v>Köln</v>
      </c>
      <c r="CF181" s="141"/>
      <c r="CG181" s="141"/>
      <c r="CH181" s="141" t="str">
        <f>ß11</f>
        <v>M'gladb.</v>
      </c>
      <c r="CI181" s="141"/>
      <c r="CJ181" s="141"/>
      <c r="CK181" s="141" t="str">
        <f>ß12</f>
        <v>HSV</v>
      </c>
      <c r="CL181" s="141"/>
      <c r="CM181" s="141"/>
      <c r="CN181" s="141" t="str">
        <f>ß13</f>
        <v>Union</v>
      </c>
      <c r="CO181" s="141"/>
      <c r="CP181" s="141"/>
      <c r="CQ181" s="141" t="str">
        <f>ß14</f>
        <v>Stuttgart</v>
      </c>
      <c r="CR181" s="141"/>
      <c r="CS181" s="141"/>
      <c r="CT181" s="141" t="str">
        <f>ß15</f>
        <v>St. Pauli</v>
      </c>
      <c r="CU181" s="141"/>
      <c r="CV181" s="141"/>
      <c r="CW181" s="141" t="str">
        <f>ß16</f>
        <v>Dortmund</v>
      </c>
      <c r="CX181" s="141"/>
      <c r="CY181" s="141"/>
      <c r="CZ181" s="141" t="str">
        <f>ß17</f>
        <v>Heidenheim</v>
      </c>
      <c r="DA181" s="141"/>
      <c r="DB181" s="141"/>
      <c r="DC181" s="141" t="str">
        <f>ß18</f>
        <v>Wolfsburg</v>
      </c>
      <c r="DD181" s="141"/>
      <c r="DE181" s="141"/>
    </row>
    <row r="182" spans="3:122" ht="11.25" customHeight="1" x14ac:dyDescent="0.2">
      <c r="C182" s="16" t="str">
        <f>Mannschaften!F13</f>
        <v>13. Spieltag</v>
      </c>
      <c r="D182" s="11"/>
      <c r="E182" s="17" t="str">
        <f>Mannschaften!G13</f>
        <v>5.-7.12.25</v>
      </c>
      <c r="I182" s="19">
        <f>RANK(Rang!A13,Rang!A13:G13)</f>
        <v>1</v>
      </c>
      <c r="J182" s="20">
        <f>RANK(Rang!H13,Rang!H13:N13)</f>
        <v>1</v>
      </c>
      <c r="K182" s="19">
        <f>RANK(Rang!B13,Rang!A13:G13)</f>
        <v>1</v>
      </c>
      <c r="L182" s="20">
        <f>RANK(Rang!I13,Rang!H13:N13)</f>
        <v>1</v>
      </c>
      <c r="M182" s="19">
        <f>RANK(Rang!C13,Rang!A13:G13)</f>
        <v>1</v>
      </c>
      <c r="N182" s="20">
        <f>RANK(Rang!J13,Rang!H13:N13)</f>
        <v>1</v>
      </c>
      <c r="O182" s="19">
        <f>RANK(Rang!D13,Rang!A13:G13)</f>
        <v>1</v>
      </c>
      <c r="P182" s="20">
        <f>RANK(Rang!K13,Rang!H13:N13)</f>
        <v>1</v>
      </c>
      <c r="Q182" s="19">
        <f>RANK(Rang!E13,Rang!A13:G13)</f>
        <v>1</v>
      </c>
      <c r="R182" s="20">
        <f>RANK(Rang!L13,Rang!H13:N13)</f>
        <v>1</v>
      </c>
      <c r="S182" s="19">
        <f>RANK(Rang!F13,Rang!A13:G13)</f>
        <v>1</v>
      </c>
      <c r="T182" s="20">
        <f>RANK(Rang!M13,Rang!H13:N13)</f>
        <v>1</v>
      </c>
      <c r="U182" s="19">
        <f>RANK(Rang!G13,Rang!A13:G13)</f>
        <v>1</v>
      </c>
      <c r="V182" s="20">
        <f>RANK(Rang!N13,Rang!H13:N13)</f>
        <v>1</v>
      </c>
      <c r="AF182" s="22"/>
      <c r="AG182" s="22"/>
      <c r="AH182" s="22"/>
      <c r="AI182" s="22"/>
      <c r="AJ182" s="22"/>
      <c r="AK182" s="21"/>
      <c r="AL182" s="21"/>
      <c r="AM182" s="21"/>
      <c r="AN182" s="21"/>
      <c r="AO182" s="21"/>
      <c r="AP182" s="21"/>
      <c r="AQ182" s="21"/>
      <c r="AR182" s="21"/>
      <c r="AS182" s="24"/>
      <c r="AT182" s="21"/>
      <c r="AU182" s="21"/>
      <c r="AV182" s="21"/>
      <c r="AW182" s="21"/>
      <c r="AX182" s="21"/>
      <c r="AY182" s="21"/>
      <c r="AZ182" s="21"/>
      <c r="BA182" s="21"/>
      <c r="BB182" s="21"/>
      <c r="BD182" s="25" t="s">
        <v>4</v>
      </c>
      <c r="BE182" s="25" t="s">
        <v>5</v>
      </c>
      <c r="BF182" s="26" t="s">
        <v>6</v>
      </c>
      <c r="BG182" s="27" t="s">
        <v>4</v>
      </c>
      <c r="BH182" s="25" t="s">
        <v>5</v>
      </c>
      <c r="BI182" s="26" t="s">
        <v>6</v>
      </c>
      <c r="BJ182" s="27" t="s">
        <v>4</v>
      </c>
      <c r="BK182" s="25" t="s">
        <v>5</v>
      </c>
      <c r="BL182" s="26" t="s">
        <v>6</v>
      </c>
      <c r="BM182" s="27" t="s">
        <v>4</v>
      </c>
      <c r="BN182" s="25" t="s">
        <v>5</v>
      </c>
      <c r="BO182" s="26" t="s">
        <v>6</v>
      </c>
      <c r="BP182" s="27" t="s">
        <v>4</v>
      </c>
      <c r="BQ182" s="25" t="s">
        <v>5</v>
      </c>
      <c r="BR182" s="26" t="s">
        <v>6</v>
      </c>
      <c r="BS182" s="27" t="s">
        <v>4</v>
      </c>
      <c r="BT182" s="25" t="s">
        <v>5</v>
      </c>
      <c r="BU182" s="26" t="s">
        <v>6</v>
      </c>
      <c r="BV182" s="27" t="s">
        <v>4</v>
      </c>
      <c r="BW182" s="25" t="s">
        <v>5</v>
      </c>
      <c r="BX182" s="26" t="s">
        <v>6</v>
      </c>
      <c r="BY182" s="27" t="s">
        <v>4</v>
      </c>
      <c r="BZ182" s="25" t="s">
        <v>5</v>
      </c>
      <c r="CA182" s="26" t="s">
        <v>6</v>
      </c>
      <c r="CB182" s="27" t="s">
        <v>4</v>
      </c>
      <c r="CC182" s="25" t="s">
        <v>5</v>
      </c>
      <c r="CD182" s="26" t="s">
        <v>6</v>
      </c>
      <c r="CE182" s="27" t="s">
        <v>4</v>
      </c>
      <c r="CF182" s="25" t="s">
        <v>5</v>
      </c>
      <c r="CG182" s="26" t="s">
        <v>6</v>
      </c>
      <c r="CH182" s="27" t="s">
        <v>4</v>
      </c>
      <c r="CI182" s="25" t="s">
        <v>5</v>
      </c>
      <c r="CJ182" s="26" t="s">
        <v>6</v>
      </c>
      <c r="CK182" s="27" t="s">
        <v>4</v>
      </c>
      <c r="CL182" s="25" t="s">
        <v>5</v>
      </c>
      <c r="CM182" s="26" t="s">
        <v>6</v>
      </c>
      <c r="CN182" s="27" t="s">
        <v>4</v>
      </c>
      <c r="CO182" s="25" t="s">
        <v>5</v>
      </c>
      <c r="CP182" s="26" t="s">
        <v>6</v>
      </c>
      <c r="CQ182" s="27" t="s">
        <v>4</v>
      </c>
      <c r="CR182" s="25" t="s">
        <v>5</v>
      </c>
      <c r="CS182" s="26" t="s">
        <v>6</v>
      </c>
      <c r="CT182" s="27" t="s">
        <v>4</v>
      </c>
      <c r="CU182" s="25" t="s">
        <v>5</v>
      </c>
      <c r="CV182" s="26" t="s">
        <v>6</v>
      </c>
      <c r="CW182" s="27" t="s">
        <v>4</v>
      </c>
      <c r="CX182" s="25" t="s">
        <v>5</v>
      </c>
      <c r="CY182" s="26" t="s">
        <v>6</v>
      </c>
      <c r="CZ182" s="27" t="s">
        <v>4</v>
      </c>
      <c r="DA182" s="25" t="s">
        <v>5</v>
      </c>
      <c r="DB182" s="26" t="s">
        <v>6</v>
      </c>
      <c r="DC182" s="27" t="s">
        <v>4</v>
      </c>
      <c r="DD182" s="25" t="s">
        <v>5</v>
      </c>
      <c r="DE182" s="26" t="s">
        <v>6</v>
      </c>
      <c r="DF182" s="21"/>
      <c r="DG182" s="21"/>
      <c r="DH182" s="21"/>
      <c r="DN182" s="136" t="s">
        <v>7</v>
      </c>
      <c r="DO182" s="136"/>
      <c r="DP182" s="136" t="s">
        <v>8</v>
      </c>
      <c r="DQ182" s="136"/>
      <c r="DR182" s="28"/>
    </row>
    <row r="183" spans="3:122" ht="11.25" customHeight="1" x14ac:dyDescent="0.2">
      <c r="C183" s="2" t="str">
        <f>ß16</f>
        <v>Dortmund</v>
      </c>
      <c r="D183" s="3" t="s">
        <v>11</v>
      </c>
      <c r="E183" s="2" t="str">
        <f>ß04</f>
        <v>Hoffenheim</v>
      </c>
      <c r="F183" s="29"/>
      <c r="G183" s="3" t="s">
        <v>12</v>
      </c>
      <c r="H183" s="30"/>
      <c r="I183" s="31"/>
      <c r="J183" s="32" t="str">
        <f t="shared" ref="J183:J191" si="173">IF($F183="","",(IF(I183="","",IF(I183=$DG183,(VLOOKUP($DH183,$DJ$3:$DK$11,2,FALSE())),0))))</f>
        <v/>
      </c>
      <c r="K183" s="31"/>
      <c r="L183" s="32" t="str">
        <f t="shared" ref="L183:L191" si="174">IF($F183="","",(IF(K183="","",IF(K183=$DG183,(VLOOKUP($DH183,$DJ$3:$DK$11,2,FALSE())),0))))</f>
        <v/>
      </c>
      <c r="M183" s="31"/>
      <c r="N183" s="32" t="str">
        <f t="shared" ref="N183:N191" si="175">IF($F183="","",(IF(M183="","",IF(M183=$DG183,(VLOOKUP($DH183,$DJ$3:$DK$11,2,FALSE())),0))))</f>
        <v/>
      </c>
      <c r="O183" s="31"/>
      <c r="P183" s="32" t="str">
        <f t="shared" ref="P183:P191" si="176">IF($F183="","",(IF(O183="","",IF(O183=$DG183,(VLOOKUP($DH183,$DJ$3:$DK$11,2,FALSE())),0))))</f>
        <v/>
      </c>
      <c r="Q183" s="31"/>
      <c r="R183" s="32" t="str">
        <f t="shared" ref="R183:R191" si="177">IF($F183="","",(IF(Q183="","",IF(Q183=$DG183,(VLOOKUP($DH183,$DJ$3:$DK$11,2,FALSE())),0))))</f>
        <v/>
      </c>
      <c r="S183" s="31"/>
      <c r="T183" s="32" t="str">
        <f t="shared" ref="T183:T191" si="178">IF($F183="","",(IF(S183="","",IF(S183=$DG183,(VLOOKUP($DH183,$DJ$3:$DK$11,2,FALSE())),0))))</f>
        <v/>
      </c>
      <c r="U183" s="31"/>
      <c r="V183" s="32" t="str">
        <f t="shared" ref="V183:V191" si="179">IF($F183="","",(IF(U183="","",IF(U183=$DG183,(VLOOKUP($DH183,$DJ$3:$DK$11,2,FALSE())),0))))</f>
        <v/>
      </c>
      <c r="AF183" s="34"/>
      <c r="AG183" s="34"/>
      <c r="AH183" s="34"/>
      <c r="AI183" s="34"/>
      <c r="AJ183" s="34"/>
      <c r="AN183" s="5"/>
      <c r="AO183" s="5"/>
      <c r="AP183" s="5"/>
      <c r="AQ183" s="5"/>
      <c r="AR183" s="5"/>
      <c r="AS183" s="13"/>
      <c r="AT183" s="5"/>
      <c r="AU183" s="5"/>
      <c r="AV183" s="5"/>
      <c r="AW183" s="5"/>
      <c r="AX183" s="5"/>
      <c r="AY183" s="5"/>
      <c r="BC183" s="6">
        <v>182</v>
      </c>
      <c r="BD183" s="35" t="str">
        <f>IF(ISERROR(MATCH(ß01,$C183:$C191,0)),"",MATCH(ß01,$C183:$C191,0))</f>
        <v/>
      </c>
      <c r="BE183" s="35">
        <f>IF(ISERROR(MATCH(ß01,$E183:$E191,0)),"",MATCH(ß01,$E183:$E191,0))</f>
        <v>4</v>
      </c>
      <c r="BF183" s="15">
        <f>SUM(BD183:BE183)+BC183</f>
        <v>186</v>
      </c>
      <c r="BG183" s="36">
        <f>IF(ISERROR(MATCH(ß02,$C183:$C191,0)),"",MATCH(ß02,$C183:$C191,0))</f>
        <v>3</v>
      </c>
      <c r="BH183" s="35" t="str">
        <f>IF(ISERROR(MATCH(ß02,$E183:$E191,0)),"",MATCH(ß02,$E183:$E191,0))</f>
        <v/>
      </c>
      <c r="BI183" s="15">
        <f>SUM(BG183:BH183)+BC183</f>
        <v>185</v>
      </c>
      <c r="BJ183" s="36" t="str">
        <f>IF(ISERROR(MATCH(ß03,$C183:$C191,0)),"",MATCH(ß03,$C183:$C191,0))</f>
        <v/>
      </c>
      <c r="BK183" s="35">
        <f>IF(ISERROR(MATCH(ß03,$E183:$E191,0)),"",MATCH(ß03,$E183:$E191,0))</f>
        <v>6</v>
      </c>
      <c r="BL183" s="15">
        <f>SUM(BJ183:BK183)+BC183</f>
        <v>188</v>
      </c>
      <c r="BM183" s="36" t="str">
        <f>IF(ISERROR(MATCH(ß04,$C183:$C191,0)),"",MATCH(ß04,$C183:$C191,0))</f>
        <v/>
      </c>
      <c r="BN183" s="35">
        <f>IF(ISERROR(MATCH(ß04,$E183:$E191,0)),"",MATCH(ß04,$E183:$E191,0))</f>
        <v>1</v>
      </c>
      <c r="BO183" s="15">
        <f>SUM(BM183:BN183)+BC183</f>
        <v>183</v>
      </c>
      <c r="BP183" s="36" t="str">
        <f>IF(ISERROR(MATCH(ß05,$C183:$C191,0)),"",MATCH(ß05,$C183:$C191,0))</f>
        <v/>
      </c>
      <c r="BQ183" s="35">
        <f>IF(ISERROR(MATCH(ß05,$E183:$E191,0)),"",MATCH(ß05,$E183:$E191,0))</f>
        <v>3</v>
      </c>
      <c r="BR183" s="15">
        <f>SUM(BP183:BQ183)+BC183</f>
        <v>185</v>
      </c>
      <c r="BS183" s="36" t="str">
        <f>IF(ISERROR(MATCH(ß06,$C183:$C191,0)),"",MATCH(ß06,$C183:$C191,0))</f>
        <v/>
      </c>
      <c r="BT183" s="35">
        <f>IF(ISERROR(MATCH(ß06,$E183:$E191,0)),"",MATCH(ß06,$E183:$E191,0))</f>
        <v>9</v>
      </c>
      <c r="BU183" s="15">
        <f>SUM(BS183:BT183)+BC183</f>
        <v>191</v>
      </c>
      <c r="BV183" s="36" t="str">
        <f>IF(ISERROR(MATCH(ß07,$C183:$C191,0)),"",MATCH(ß07,$C183:$C191,0))</f>
        <v/>
      </c>
      <c r="BW183" s="35">
        <f>IF(ISERROR(MATCH(ß07,$E183:$E191,0)),"",MATCH(ß07,$E183:$E191,0))</f>
        <v>7</v>
      </c>
      <c r="BX183" s="15">
        <f>SUM(BV183:BW183)+BC183</f>
        <v>189</v>
      </c>
      <c r="BY183" s="36">
        <f>IF(ISERROR(MATCH(ß08,$C183:$C191,0)),"",MATCH(ß08,$C183:$C191,0))</f>
        <v>6</v>
      </c>
      <c r="BZ183" s="35" t="str">
        <f>IF(ISERROR(MATCH(ß08,$E183:$E191,0)),"",MATCH(ß08,$E183:$E191,0))</f>
        <v/>
      </c>
      <c r="CA183" s="15">
        <f>SUM(BY183:BZ183)+BC183</f>
        <v>188</v>
      </c>
      <c r="CB183" s="36">
        <f>IF(ISERROR(MATCH(ß09,$C183:$C191,0)),"",MATCH(ß09,$C183:$C191,0))</f>
        <v>2</v>
      </c>
      <c r="CC183" s="35" t="str">
        <f>IF(ISERROR(MATCH(ß09,$E183:$E191,0)),"",MATCH(ß09,$E183:$E191,0))</f>
        <v/>
      </c>
      <c r="CD183" s="15">
        <f>SUM(CB183:CC183)+BC183</f>
        <v>184</v>
      </c>
      <c r="CE183" s="36">
        <f>IF(ISERROR(MATCH(ß10,$C183:$C191,0)),"",MATCH(ß10,$C183:$C191,0))</f>
        <v>8</v>
      </c>
      <c r="CF183" s="35" t="str">
        <f>IF(ISERROR(MATCH(ß10,$E183:$E191,0)),"",MATCH(ß10,$E183:$E191,0))</f>
        <v/>
      </c>
      <c r="CG183" s="15">
        <f>SUM(CE183:CF183)+BC183</f>
        <v>190</v>
      </c>
      <c r="CH183" s="36" t="str">
        <f>IF(ISERROR(MATCH(ß11,$C183:$C191,0)),"",MATCH(ß11,$C183:$C191,0))</f>
        <v/>
      </c>
      <c r="CI183" s="35">
        <f>IF(ISERROR(MATCH(ß11,$E183:$E191,0)),"",MATCH(ß11,$E183:$E191,0))</f>
        <v>2</v>
      </c>
      <c r="CJ183" s="15">
        <f>SUM(CH183:CI183)+BC183</f>
        <v>184</v>
      </c>
      <c r="CK183" s="36">
        <f>IF(ISERROR(MATCH(ß12,$C183:$C191,0)),"",MATCH(ß12,$C183:$C191,0))</f>
        <v>9</v>
      </c>
      <c r="CL183" s="35" t="str">
        <f>IF(ISERROR(MATCH(ß12,$E183:$E191,0)),"",MATCH(ß12,$E183:$E191,0))</f>
        <v/>
      </c>
      <c r="CM183" s="15">
        <f>SUM(CK183:CL183)+BC183</f>
        <v>191</v>
      </c>
      <c r="CN183" s="36" t="str">
        <f>IF(ISERROR(MATCH(ß13,$C183:$C191,0)),"",MATCH(ß13,$C183:$C191,0))</f>
        <v/>
      </c>
      <c r="CO183" s="35">
        <f>IF(ISERROR(MATCH(ß13,$E183:$E191,0)),"",MATCH(ß13,$E183:$E191,0))</f>
        <v>5</v>
      </c>
      <c r="CP183" s="15">
        <f>SUM(CN183:CO183)+BC183</f>
        <v>187</v>
      </c>
      <c r="CQ183" s="36">
        <f>IF(ISERROR(MATCH(ß14,$C183:$C191,0)),"",MATCH(ß14,$C183:$C191,0))</f>
        <v>4</v>
      </c>
      <c r="CR183" s="35" t="str">
        <f>IF(ISERROR(MATCH(ß14,$E183:$E191,0)),"",MATCH(ß14,$E183:$E191,0))</f>
        <v/>
      </c>
      <c r="CS183" s="15">
        <f>SUM(CQ183:CR183)+BC183</f>
        <v>186</v>
      </c>
      <c r="CT183" s="36" t="str">
        <f>IF(ISERROR(MATCH(ß15,$C183:$C191,0)),"",MATCH(ß15,$C183:$C191,0))</f>
        <v/>
      </c>
      <c r="CU183" s="35">
        <f>IF(ISERROR(MATCH(ß15,$E183:$E191,0)),"",MATCH(ß15,$E183:$E191,0))</f>
        <v>8</v>
      </c>
      <c r="CV183" s="15">
        <f>SUM(CT183:CU183)+BC183</f>
        <v>190</v>
      </c>
      <c r="CW183" s="36">
        <f>IF(ISERROR(MATCH(ß16,$C183:$C191,0)),"",MATCH(ß16,$C183:$C191,0))</f>
        <v>1</v>
      </c>
      <c r="CX183" s="35" t="str">
        <f>IF(ISERROR(MATCH(ß16,$E183:$E191,0)),"",MATCH(ß16,$E183:$E191,0))</f>
        <v/>
      </c>
      <c r="CY183" s="15">
        <f>SUM(CW183:CX183)+BC183</f>
        <v>183</v>
      </c>
      <c r="CZ183" s="36">
        <f>IF(ISERROR(MATCH(ß17,$C183:$C191,0)),"",MATCH(ß17,$C183:$C191,0))</f>
        <v>7</v>
      </c>
      <c r="DA183" s="35" t="str">
        <f>IF(ISERROR(MATCH(ß17,$E183:$E191,0)),"",MATCH(ß17,$E183:$E191,0))</f>
        <v/>
      </c>
      <c r="DB183" s="15">
        <f>SUM(CZ183:DA183)+BC183</f>
        <v>189</v>
      </c>
      <c r="DC183" s="36">
        <f>IF(ISERROR(MATCH(ß18,$C183:$C191,0)),"",MATCH(ß18,$C183:$C191,0))</f>
        <v>5</v>
      </c>
      <c r="DD183" s="35" t="str">
        <f>IF(ISERROR(MATCH(ß18,$E183:$E191,0)),"",MATCH(ß18,$E183:$E191,0))</f>
        <v/>
      </c>
      <c r="DE183" s="15">
        <f>SUM(DC183:DD183)+BC183</f>
        <v>187</v>
      </c>
      <c r="DG183" s="8" t="str">
        <f t="shared" ref="DG183:DG191" si="180">IF(F183="","",(IF(F183=H183,0,IF(F183&gt;H183,1,IF(F183&lt;H183,2)))))</f>
        <v/>
      </c>
      <c r="DH183" s="3">
        <f>COUNTIF(I183,DG183)+COUNTIF(K183,DG183)+COUNTIF(M183,DG183)+COUNTIF(O183,DG183)+COUNTIF(Q183,DG183)+COUNTIF(S183,DG183)+COUNTIF(U183,DG183)</f>
        <v>7</v>
      </c>
      <c r="DN183" s="12">
        <f t="shared" ref="DN183:DN191" si="181">F183</f>
        <v>0</v>
      </c>
      <c r="DO183" s="5">
        <f t="shared" ref="DO183:DO191" si="182">H183</f>
        <v>0</v>
      </c>
      <c r="DP183" s="5" t="str">
        <f t="shared" ref="DP183:DP191" si="183">IF($F183="","",IF(DN183&gt;DO183,3,IF(DN183&lt;DO183,0,1)))</f>
        <v/>
      </c>
      <c r="DQ183" s="5" t="str">
        <f t="shared" ref="DQ183:DQ191" si="184">IF($H183="","",IF(DO183&gt;DN183,3,IF(DO183&lt;DN183,0,1)))</f>
        <v/>
      </c>
      <c r="DR183" s="5">
        <f t="shared" ref="DR183:DR191" si="185">IF(ISBLANK(F183),0,1)</f>
        <v>0</v>
      </c>
    </row>
    <row r="184" spans="3:122" ht="11.25" customHeight="1" x14ac:dyDescent="0.2">
      <c r="C184" s="2" t="str">
        <f>ß09</f>
        <v>Mainz</v>
      </c>
      <c r="D184" s="3" t="s">
        <v>11</v>
      </c>
      <c r="E184" s="2" t="str">
        <f>ß11</f>
        <v>M'gladb.</v>
      </c>
      <c r="F184" s="29"/>
      <c r="G184" s="3" t="s">
        <v>12</v>
      </c>
      <c r="H184" s="30"/>
      <c r="I184" s="37"/>
      <c r="J184" s="38" t="str">
        <f t="shared" si="173"/>
        <v/>
      </c>
      <c r="K184" s="37"/>
      <c r="L184" s="38" t="str">
        <f t="shared" si="174"/>
        <v/>
      </c>
      <c r="M184" s="37"/>
      <c r="N184" s="38" t="str">
        <f t="shared" si="175"/>
        <v/>
      </c>
      <c r="O184" s="37"/>
      <c r="P184" s="38" t="str">
        <f t="shared" si="176"/>
        <v/>
      </c>
      <c r="Q184" s="37"/>
      <c r="R184" s="38" t="str">
        <f t="shared" si="177"/>
        <v/>
      </c>
      <c r="S184" s="37"/>
      <c r="T184" s="38" t="str">
        <f t="shared" si="178"/>
        <v/>
      </c>
      <c r="U184" s="37"/>
      <c r="V184" s="38" t="str">
        <f t="shared" si="179"/>
        <v/>
      </c>
      <c r="AF184" s="34"/>
      <c r="AG184" s="34"/>
      <c r="AH184" s="34"/>
      <c r="AI184" s="34"/>
      <c r="AJ184" s="34"/>
      <c r="DG184" s="8" t="str">
        <f t="shared" si="180"/>
        <v/>
      </c>
      <c r="DH184" s="3">
        <f t="shared" ref="DH184:DH191" si="186">COUNTIF(I184,DG184)+COUNTIF(K184,DG184)+COUNTIF(M184,DG184)+COUNTIF(O184,DG184)+COUNTIF(Q184,DG184)+COUNTIF(S184,DG184)+COUNTIF(U184,DG184)</f>
        <v>7</v>
      </c>
      <c r="DN184" s="12">
        <f t="shared" si="181"/>
        <v>0</v>
      </c>
      <c r="DO184" s="5">
        <f t="shared" si="182"/>
        <v>0</v>
      </c>
      <c r="DP184" s="5" t="str">
        <f t="shared" si="183"/>
        <v/>
      </c>
      <c r="DQ184" s="5" t="str">
        <f t="shared" si="184"/>
        <v/>
      </c>
      <c r="DR184" s="5">
        <f t="shared" si="185"/>
        <v>0</v>
      </c>
    </row>
    <row r="185" spans="3:122" ht="11.25" customHeight="1" x14ac:dyDescent="0.2">
      <c r="C185" s="2" t="str">
        <f>ß02</f>
        <v>Leipzig</v>
      </c>
      <c r="D185" s="3" t="s">
        <v>11</v>
      </c>
      <c r="E185" s="2" t="str">
        <f>ß05</f>
        <v>Frankfurt</v>
      </c>
      <c r="F185" s="29"/>
      <c r="G185" s="3" t="s">
        <v>12</v>
      </c>
      <c r="H185" s="30"/>
      <c r="I185" s="37"/>
      <c r="J185" s="38" t="str">
        <f t="shared" si="173"/>
        <v/>
      </c>
      <c r="K185" s="37"/>
      <c r="L185" s="38" t="str">
        <f t="shared" si="174"/>
        <v/>
      </c>
      <c r="M185" s="37"/>
      <c r="N185" s="38" t="str">
        <f t="shared" si="175"/>
        <v/>
      </c>
      <c r="O185" s="37"/>
      <c r="P185" s="38" t="str">
        <f t="shared" si="176"/>
        <v/>
      </c>
      <c r="Q185" s="37"/>
      <c r="R185" s="38" t="str">
        <f t="shared" si="177"/>
        <v/>
      </c>
      <c r="S185" s="37"/>
      <c r="T185" s="38" t="str">
        <f t="shared" si="178"/>
        <v/>
      </c>
      <c r="U185" s="37"/>
      <c r="V185" s="38" t="str">
        <f t="shared" si="179"/>
        <v/>
      </c>
      <c r="AF185" s="34"/>
      <c r="AG185" s="34"/>
      <c r="AH185" s="34"/>
      <c r="AI185" s="34"/>
      <c r="AJ185" s="34"/>
      <c r="DG185" s="8" t="str">
        <f t="shared" si="180"/>
        <v/>
      </c>
      <c r="DH185" s="3">
        <f t="shared" si="186"/>
        <v>7</v>
      </c>
      <c r="DN185" s="12">
        <f t="shared" si="181"/>
        <v>0</v>
      </c>
      <c r="DO185" s="5">
        <f t="shared" si="182"/>
        <v>0</v>
      </c>
      <c r="DP185" s="5" t="str">
        <f t="shared" si="183"/>
        <v/>
      </c>
      <c r="DQ185" s="5" t="str">
        <f t="shared" si="184"/>
        <v/>
      </c>
      <c r="DR185" s="5">
        <f t="shared" si="185"/>
        <v>0</v>
      </c>
    </row>
    <row r="186" spans="3:122" ht="11.25" customHeight="1" x14ac:dyDescent="0.2">
      <c r="C186" s="2" t="str">
        <f>ß14</f>
        <v>Stuttgart</v>
      </c>
      <c r="D186" s="3" t="s">
        <v>11</v>
      </c>
      <c r="E186" s="2" t="str">
        <f>ß01</f>
        <v>Bayern</v>
      </c>
      <c r="F186" s="29"/>
      <c r="G186" s="3" t="s">
        <v>12</v>
      </c>
      <c r="H186" s="30"/>
      <c r="I186" s="37"/>
      <c r="J186" s="38" t="str">
        <f t="shared" si="173"/>
        <v/>
      </c>
      <c r="K186" s="37"/>
      <c r="L186" s="38" t="str">
        <f t="shared" si="174"/>
        <v/>
      </c>
      <c r="M186" s="37"/>
      <c r="N186" s="38" t="str">
        <f t="shared" si="175"/>
        <v/>
      </c>
      <c r="O186" s="37"/>
      <c r="P186" s="38" t="str">
        <f t="shared" si="176"/>
        <v/>
      </c>
      <c r="Q186" s="37"/>
      <c r="R186" s="38" t="str">
        <f t="shared" si="177"/>
        <v/>
      </c>
      <c r="S186" s="37"/>
      <c r="T186" s="38" t="str">
        <f t="shared" si="178"/>
        <v/>
      </c>
      <c r="U186" s="37"/>
      <c r="V186" s="38" t="str">
        <f t="shared" si="179"/>
        <v/>
      </c>
      <c r="AF186" s="34"/>
      <c r="AG186" s="34"/>
      <c r="AH186" s="34"/>
      <c r="AI186" s="34"/>
      <c r="AJ186" s="34"/>
      <c r="DG186" s="8" t="str">
        <f t="shared" si="180"/>
        <v/>
      </c>
      <c r="DH186" s="3">
        <f t="shared" si="186"/>
        <v>7</v>
      </c>
      <c r="DN186" s="12">
        <f t="shared" si="181"/>
        <v>0</v>
      </c>
      <c r="DO186" s="5">
        <f t="shared" si="182"/>
        <v>0</v>
      </c>
      <c r="DP186" s="5" t="str">
        <f t="shared" si="183"/>
        <v/>
      </c>
      <c r="DQ186" s="5" t="str">
        <f t="shared" si="184"/>
        <v/>
      </c>
      <c r="DR186" s="5">
        <f t="shared" si="185"/>
        <v>0</v>
      </c>
    </row>
    <row r="187" spans="3:122" ht="11.25" customHeight="1" x14ac:dyDescent="0.2">
      <c r="C187" s="2" t="str">
        <f>ß18</f>
        <v>Wolfsburg</v>
      </c>
      <c r="D187" s="3" t="s">
        <v>11</v>
      </c>
      <c r="E187" s="2" t="str">
        <f>ß13</f>
        <v>Union</v>
      </c>
      <c r="F187" s="29"/>
      <c r="G187" s="3" t="s">
        <v>12</v>
      </c>
      <c r="H187" s="30"/>
      <c r="I187" s="37"/>
      <c r="J187" s="38" t="str">
        <f t="shared" si="173"/>
        <v/>
      </c>
      <c r="K187" s="37"/>
      <c r="L187" s="38" t="str">
        <f t="shared" si="174"/>
        <v/>
      </c>
      <c r="M187" s="37"/>
      <c r="N187" s="38" t="str">
        <f t="shared" si="175"/>
        <v/>
      </c>
      <c r="O187" s="37"/>
      <c r="P187" s="38" t="str">
        <f t="shared" si="176"/>
        <v/>
      </c>
      <c r="Q187" s="37"/>
      <c r="R187" s="38" t="str">
        <f t="shared" si="177"/>
        <v/>
      </c>
      <c r="S187" s="37"/>
      <c r="T187" s="38" t="str">
        <f t="shared" si="178"/>
        <v/>
      </c>
      <c r="U187" s="37"/>
      <c r="V187" s="38" t="str">
        <f t="shared" si="179"/>
        <v/>
      </c>
      <c r="AF187" s="34"/>
      <c r="AG187" s="34"/>
      <c r="AH187" s="34"/>
      <c r="AI187" s="34"/>
      <c r="AJ187" s="34"/>
      <c r="DG187" s="8" t="str">
        <f t="shared" si="180"/>
        <v/>
      </c>
      <c r="DH187" s="3">
        <f t="shared" si="186"/>
        <v>7</v>
      </c>
      <c r="DN187" s="12">
        <f t="shared" si="181"/>
        <v>0</v>
      </c>
      <c r="DO187" s="5">
        <f t="shared" si="182"/>
        <v>0</v>
      </c>
      <c r="DP187" s="5" t="str">
        <f t="shared" si="183"/>
        <v/>
      </c>
      <c r="DQ187" s="5" t="str">
        <f t="shared" si="184"/>
        <v/>
      </c>
      <c r="DR187" s="5">
        <f t="shared" si="185"/>
        <v>0</v>
      </c>
    </row>
    <row r="188" spans="3:122" ht="11.25" customHeight="1" x14ac:dyDescent="0.2">
      <c r="C188" s="2" t="str">
        <f>ß08</f>
        <v>Augsburg</v>
      </c>
      <c r="D188" s="3" t="s">
        <v>11</v>
      </c>
      <c r="E188" s="2" t="str">
        <f>ß03</f>
        <v>Leverk.</v>
      </c>
      <c r="F188" s="29"/>
      <c r="G188" s="3" t="s">
        <v>12</v>
      </c>
      <c r="H188" s="30"/>
      <c r="I188" s="37"/>
      <c r="J188" s="38" t="str">
        <f t="shared" si="173"/>
        <v/>
      </c>
      <c r="K188" s="37"/>
      <c r="L188" s="38" t="str">
        <f t="shared" si="174"/>
        <v/>
      </c>
      <c r="M188" s="37"/>
      <c r="N188" s="38" t="str">
        <f t="shared" si="175"/>
        <v/>
      </c>
      <c r="O188" s="37"/>
      <c r="P188" s="38" t="str">
        <f t="shared" si="176"/>
        <v/>
      </c>
      <c r="Q188" s="37"/>
      <c r="R188" s="38" t="str">
        <f t="shared" si="177"/>
        <v/>
      </c>
      <c r="S188" s="37"/>
      <c r="T188" s="38" t="str">
        <f t="shared" si="178"/>
        <v/>
      </c>
      <c r="U188" s="37"/>
      <c r="V188" s="38" t="str">
        <f t="shared" si="179"/>
        <v/>
      </c>
      <c r="AF188" s="34"/>
      <c r="AG188" s="34"/>
      <c r="AH188" s="34"/>
      <c r="AI188" s="34"/>
      <c r="AJ188" s="34"/>
      <c r="DG188" s="8" t="str">
        <f t="shared" si="180"/>
        <v/>
      </c>
      <c r="DH188" s="3">
        <f t="shared" si="186"/>
        <v>7</v>
      </c>
      <c r="DN188" s="12">
        <f t="shared" si="181"/>
        <v>0</v>
      </c>
      <c r="DO188" s="5">
        <f t="shared" si="182"/>
        <v>0</v>
      </c>
      <c r="DP188" s="5" t="str">
        <f t="shared" si="183"/>
        <v/>
      </c>
      <c r="DQ188" s="5" t="str">
        <f t="shared" si="184"/>
        <v/>
      </c>
      <c r="DR188" s="5">
        <f t="shared" si="185"/>
        <v>0</v>
      </c>
    </row>
    <row r="189" spans="3:122" ht="11.25" customHeight="1" x14ac:dyDescent="0.2">
      <c r="C189" s="2" t="str">
        <f>ß17</f>
        <v>Heidenheim</v>
      </c>
      <c r="D189" s="3" t="s">
        <v>11</v>
      </c>
      <c r="E189" s="2" t="str">
        <f>ß07</f>
        <v>Freiburg</v>
      </c>
      <c r="F189" s="29"/>
      <c r="G189" s="3" t="s">
        <v>12</v>
      </c>
      <c r="H189" s="30"/>
      <c r="I189" s="37"/>
      <c r="J189" s="38" t="str">
        <f t="shared" si="173"/>
        <v/>
      </c>
      <c r="K189" s="37"/>
      <c r="L189" s="38" t="str">
        <f t="shared" si="174"/>
        <v/>
      </c>
      <c r="M189" s="37"/>
      <c r="N189" s="38" t="str">
        <f t="shared" si="175"/>
        <v/>
      </c>
      <c r="O189" s="37"/>
      <c r="P189" s="38" t="str">
        <f t="shared" si="176"/>
        <v/>
      </c>
      <c r="Q189" s="37"/>
      <c r="R189" s="38" t="str">
        <f t="shared" si="177"/>
        <v/>
      </c>
      <c r="S189" s="37"/>
      <c r="T189" s="38" t="str">
        <f t="shared" si="178"/>
        <v/>
      </c>
      <c r="U189" s="37"/>
      <c r="V189" s="38" t="str">
        <f t="shared" si="179"/>
        <v/>
      </c>
      <c r="AF189" s="34"/>
      <c r="AG189" s="34"/>
      <c r="AH189" s="34"/>
      <c r="AI189" s="34"/>
      <c r="AJ189" s="34"/>
      <c r="DG189" s="8" t="str">
        <f t="shared" si="180"/>
        <v/>
      </c>
      <c r="DH189" s="3">
        <f t="shared" si="186"/>
        <v>7</v>
      </c>
      <c r="DN189" s="12">
        <f t="shared" si="181"/>
        <v>0</v>
      </c>
      <c r="DO189" s="5">
        <f t="shared" si="182"/>
        <v>0</v>
      </c>
      <c r="DP189" s="5" t="str">
        <f t="shared" si="183"/>
        <v/>
      </c>
      <c r="DQ189" s="5" t="str">
        <f t="shared" si="184"/>
        <v/>
      </c>
      <c r="DR189" s="5">
        <f t="shared" si="185"/>
        <v>0</v>
      </c>
    </row>
    <row r="190" spans="3:122" ht="11.25" customHeight="1" x14ac:dyDescent="0.2">
      <c r="C190" s="2" t="str">
        <f>ß10</f>
        <v>Köln</v>
      </c>
      <c r="D190" s="3" t="s">
        <v>11</v>
      </c>
      <c r="E190" s="2" t="str">
        <f>ß15</f>
        <v>St. Pauli</v>
      </c>
      <c r="F190" s="29"/>
      <c r="G190" s="3" t="s">
        <v>12</v>
      </c>
      <c r="H190" s="30"/>
      <c r="I190" s="37"/>
      <c r="J190" s="38" t="str">
        <f t="shared" si="173"/>
        <v/>
      </c>
      <c r="K190" s="37"/>
      <c r="L190" s="38" t="str">
        <f t="shared" si="174"/>
        <v/>
      </c>
      <c r="M190" s="37"/>
      <c r="N190" s="38" t="str">
        <f t="shared" si="175"/>
        <v/>
      </c>
      <c r="O190" s="37"/>
      <c r="P190" s="38" t="str">
        <f t="shared" si="176"/>
        <v/>
      </c>
      <c r="Q190" s="37"/>
      <c r="R190" s="38" t="str">
        <f t="shared" si="177"/>
        <v/>
      </c>
      <c r="S190" s="37"/>
      <c r="T190" s="38" t="str">
        <f t="shared" si="178"/>
        <v/>
      </c>
      <c r="U190" s="37"/>
      <c r="V190" s="38" t="str">
        <f t="shared" si="179"/>
        <v/>
      </c>
      <c r="AF190" s="34"/>
      <c r="AG190" s="34"/>
      <c r="AH190" s="34"/>
      <c r="AI190" s="34"/>
      <c r="AJ190" s="34"/>
      <c r="DG190" s="8" t="str">
        <f t="shared" si="180"/>
        <v/>
      </c>
      <c r="DH190" s="3">
        <f t="shared" si="186"/>
        <v>7</v>
      </c>
      <c r="DN190" s="12">
        <f t="shared" si="181"/>
        <v>0</v>
      </c>
      <c r="DO190" s="5">
        <f t="shared" si="182"/>
        <v>0</v>
      </c>
      <c r="DP190" s="5" t="str">
        <f t="shared" si="183"/>
        <v/>
      </c>
      <c r="DQ190" s="5" t="str">
        <f t="shared" si="184"/>
        <v/>
      </c>
      <c r="DR190" s="5">
        <f t="shared" si="185"/>
        <v>0</v>
      </c>
    </row>
    <row r="191" spans="3:122" ht="11.25" customHeight="1" thickBot="1" x14ac:dyDescent="0.25">
      <c r="C191" s="2" t="str">
        <f>ß12</f>
        <v>HSV</v>
      </c>
      <c r="D191" s="3" t="s">
        <v>11</v>
      </c>
      <c r="E191" s="2" t="str">
        <f>ß06</f>
        <v>Werder</v>
      </c>
      <c r="F191" s="29"/>
      <c r="G191" s="3" t="s">
        <v>12</v>
      </c>
      <c r="H191" s="30"/>
      <c r="I191" s="37"/>
      <c r="J191" s="38" t="str">
        <f t="shared" si="173"/>
        <v/>
      </c>
      <c r="K191" s="37"/>
      <c r="L191" s="38" t="str">
        <f t="shared" si="174"/>
        <v/>
      </c>
      <c r="M191" s="37"/>
      <c r="N191" s="38" t="str">
        <f t="shared" si="175"/>
        <v/>
      </c>
      <c r="O191" s="37"/>
      <c r="P191" s="38" t="str">
        <f t="shared" si="176"/>
        <v/>
      </c>
      <c r="Q191" s="37"/>
      <c r="R191" s="38" t="str">
        <f t="shared" si="177"/>
        <v/>
      </c>
      <c r="S191" s="37"/>
      <c r="T191" s="38" t="str">
        <f t="shared" si="178"/>
        <v/>
      </c>
      <c r="U191" s="37"/>
      <c r="V191" s="38" t="str">
        <f t="shared" si="179"/>
        <v/>
      </c>
      <c r="AF191" s="34"/>
      <c r="AG191" s="34"/>
      <c r="AH191" s="34"/>
      <c r="AI191" s="34"/>
      <c r="AJ191" s="34"/>
      <c r="DG191" s="8" t="str">
        <f t="shared" si="180"/>
        <v/>
      </c>
      <c r="DH191" s="3">
        <f t="shared" si="186"/>
        <v>7</v>
      </c>
      <c r="DN191" s="12">
        <f t="shared" si="181"/>
        <v>0</v>
      </c>
      <c r="DO191" s="5">
        <f t="shared" si="182"/>
        <v>0</v>
      </c>
      <c r="DP191" s="5" t="str">
        <f t="shared" si="183"/>
        <v/>
      </c>
      <c r="DQ191" s="5" t="str">
        <f t="shared" si="184"/>
        <v/>
      </c>
      <c r="DR191" s="5">
        <f t="shared" si="185"/>
        <v>0</v>
      </c>
    </row>
    <row r="192" spans="3:122" ht="11.25" customHeight="1" thickTop="1" x14ac:dyDescent="0.2">
      <c r="C192" s="41">
        <f>(I192+K192+M192+O192+Q192+S192+U192)</f>
        <v>0</v>
      </c>
      <c r="E192" s="42">
        <f>C192/8</f>
        <v>0</v>
      </c>
      <c r="F192" s="41">
        <f>SUM(F183:F191)</f>
        <v>0</v>
      </c>
      <c r="G192" s="2"/>
      <c r="H192" s="43">
        <f>SUM(H183:H191)</f>
        <v>0</v>
      </c>
      <c r="I192" s="44">
        <f>COUNTIF(J183:J191,"&gt;0")</f>
        <v>0</v>
      </c>
      <c r="J192" s="45">
        <f>I192+J177</f>
        <v>0</v>
      </c>
      <c r="K192" s="44">
        <f>COUNTIF(L183:L191,"&gt;0")</f>
        <v>0</v>
      </c>
      <c r="L192" s="45">
        <f>K192+L177</f>
        <v>0</v>
      </c>
      <c r="M192" s="44">
        <f>COUNTIF(N183:N191,"&gt;0")</f>
        <v>0</v>
      </c>
      <c r="N192" s="45">
        <f>M192+N177</f>
        <v>0</v>
      </c>
      <c r="O192" s="44">
        <f>COUNTIF(P183:P191,"&gt;0")</f>
        <v>0</v>
      </c>
      <c r="P192" s="45">
        <f>O192+P177</f>
        <v>0</v>
      </c>
      <c r="Q192" s="44">
        <f>COUNTIF(R183:R191,"&gt;0")</f>
        <v>0</v>
      </c>
      <c r="R192" s="45">
        <f>Q192+R177</f>
        <v>0</v>
      </c>
      <c r="S192" s="44">
        <f>COUNTIF(T183:T191,"&gt;0")</f>
        <v>0</v>
      </c>
      <c r="T192" s="45">
        <f>S192+T177</f>
        <v>0</v>
      </c>
      <c r="U192" s="44">
        <f>COUNTIF(V183:V191,"&gt;0")</f>
        <v>0</v>
      </c>
      <c r="V192" s="45">
        <f>U192+V177</f>
        <v>0</v>
      </c>
      <c r="AF192" s="34"/>
      <c r="AG192" s="34"/>
      <c r="AH192" s="34"/>
      <c r="AI192" s="34"/>
      <c r="AJ192" s="34"/>
      <c r="DN192" s="12"/>
    </row>
    <row r="193" spans="3:122" ht="11.25" customHeight="1" x14ac:dyDescent="0.2">
      <c r="C193" s="41">
        <f>(I193+K193+M193+O193+Q193+S193+U193)</f>
        <v>0</v>
      </c>
      <c r="E193" s="42">
        <f>C193/8</f>
        <v>0</v>
      </c>
      <c r="F193" s="137">
        <f>F192+H192</f>
        <v>0</v>
      </c>
      <c r="G193" s="137"/>
      <c r="H193" s="137"/>
      <c r="I193" s="46">
        <f>SUM(J183:J191)</f>
        <v>0</v>
      </c>
      <c r="J193" s="47">
        <f>I193+J178</f>
        <v>0</v>
      </c>
      <c r="K193" s="46">
        <f>SUM(L183:L191)</f>
        <v>0</v>
      </c>
      <c r="L193" s="47">
        <f>K193+L178</f>
        <v>0</v>
      </c>
      <c r="M193" s="46">
        <f>SUM(N183:N191)</f>
        <v>0</v>
      </c>
      <c r="N193" s="47">
        <f>M193+N178</f>
        <v>0</v>
      </c>
      <c r="O193" s="46">
        <f>SUM(P183:P191)</f>
        <v>0</v>
      </c>
      <c r="P193" s="47">
        <f>O193+P178</f>
        <v>0</v>
      </c>
      <c r="Q193" s="46">
        <f>SUM(R183:R191)</f>
        <v>0</v>
      </c>
      <c r="R193" s="47">
        <f>Q193+R178</f>
        <v>0</v>
      </c>
      <c r="S193" s="46">
        <f>SUM(T183:T191)</f>
        <v>0</v>
      </c>
      <c r="T193" s="47">
        <f>S193+T178</f>
        <v>0</v>
      </c>
      <c r="U193" s="46">
        <f>SUM(V183:V191)</f>
        <v>0</v>
      </c>
      <c r="V193" s="47">
        <f>U193+V178</f>
        <v>0</v>
      </c>
      <c r="AF193" s="34"/>
      <c r="AG193" s="34"/>
      <c r="AH193" s="34"/>
      <c r="AI193" s="34"/>
      <c r="AJ193" s="34"/>
      <c r="DN193" s="12"/>
    </row>
    <row r="194" spans="3:122" ht="11.25" customHeight="1" thickBot="1" x14ac:dyDescent="0.25">
      <c r="C194" s="41">
        <f>(I194+K194+M194+O194+Q194+S194+U194)</f>
        <v>0</v>
      </c>
      <c r="E194" s="42">
        <f>C194/8</f>
        <v>0</v>
      </c>
      <c r="F194" s="138">
        <f>F193+F179</f>
        <v>0</v>
      </c>
      <c r="G194" s="138"/>
      <c r="H194" s="138"/>
      <c r="I194" s="48">
        <f>I192*I193</f>
        <v>0</v>
      </c>
      <c r="J194" s="49">
        <f>I194+J179</f>
        <v>0</v>
      </c>
      <c r="K194" s="48">
        <f>K192*K193</f>
        <v>0</v>
      </c>
      <c r="L194" s="49">
        <f>K194+L179</f>
        <v>0</v>
      </c>
      <c r="M194" s="48">
        <f>M192*M193</f>
        <v>0</v>
      </c>
      <c r="N194" s="49">
        <f>M194+N179</f>
        <v>0</v>
      </c>
      <c r="O194" s="48">
        <f>O192*O193</f>
        <v>0</v>
      </c>
      <c r="P194" s="49">
        <f>O194+P179</f>
        <v>0</v>
      </c>
      <c r="Q194" s="48">
        <f>Q192*Q193</f>
        <v>0</v>
      </c>
      <c r="R194" s="49">
        <f>Q194+R179</f>
        <v>0</v>
      </c>
      <c r="S194" s="48">
        <f>S192*S193</f>
        <v>0</v>
      </c>
      <c r="T194" s="49">
        <f>S194+T179</f>
        <v>0</v>
      </c>
      <c r="U194" s="48">
        <f>U192*U193</f>
        <v>0</v>
      </c>
      <c r="V194" s="49">
        <f>U194+V179</f>
        <v>0</v>
      </c>
      <c r="AF194" s="34"/>
      <c r="AG194" s="34"/>
      <c r="AH194" s="34"/>
      <c r="AI194" s="34"/>
      <c r="AJ194" s="34"/>
      <c r="AL194" s="5">
        <f>MAX(I194,K194,M194,O194,Q194,S194,U194)</f>
        <v>0</v>
      </c>
      <c r="AM194" s="5">
        <f>MIN(I194,K194,M194,O194,Q194,S194,U194)</f>
        <v>0</v>
      </c>
      <c r="AN194" s="5"/>
      <c r="AO194" s="5"/>
      <c r="AP194" s="5"/>
      <c r="AQ194" s="5"/>
      <c r="AR194" s="5"/>
      <c r="AS194" s="13"/>
      <c r="AT194" s="5"/>
      <c r="AU194" s="5"/>
      <c r="AV194" s="5"/>
      <c r="AW194" s="5"/>
      <c r="AX194" s="5"/>
      <c r="AY194" s="5"/>
      <c r="AZ194" s="5"/>
      <c r="BA194" s="5"/>
      <c r="BB194" s="5"/>
      <c r="BD194" s="5"/>
      <c r="BE194" s="5"/>
      <c r="BF194" s="14"/>
      <c r="BG194" s="13"/>
      <c r="BH194" s="5"/>
      <c r="BI194" s="14"/>
      <c r="BJ194" s="13"/>
      <c r="BK194" s="5"/>
      <c r="BL194" s="14"/>
      <c r="BM194" s="13"/>
      <c r="BN194" s="5"/>
      <c r="BO194" s="14"/>
      <c r="BP194" s="13"/>
      <c r="BQ194" s="5"/>
      <c r="BR194" s="14"/>
      <c r="BS194" s="13"/>
      <c r="BT194" s="5"/>
      <c r="BU194" s="14"/>
      <c r="BV194" s="13"/>
      <c r="BW194" s="5"/>
      <c r="BX194" s="14"/>
      <c r="BY194" s="13"/>
      <c r="BZ194" s="5"/>
      <c r="CA194" s="14"/>
      <c r="CB194" s="13"/>
      <c r="CC194" s="5"/>
      <c r="CD194" s="14"/>
      <c r="CE194" s="13"/>
      <c r="CF194" s="5"/>
      <c r="CG194" s="14"/>
      <c r="CH194" s="13"/>
      <c r="CI194" s="5"/>
      <c r="CJ194" s="14"/>
      <c r="CK194" s="13"/>
      <c r="CL194" s="5"/>
      <c r="CM194" s="14"/>
      <c r="CN194" s="13"/>
      <c r="CO194" s="5"/>
      <c r="CP194" s="14"/>
      <c r="CQ194" s="13"/>
      <c r="CR194" s="5"/>
      <c r="CS194" s="14"/>
      <c r="CT194" s="13"/>
      <c r="CU194" s="5"/>
      <c r="CV194" s="14"/>
      <c r="CW194" s="13"/>
      <c r="CX194" s="5"/>
      <c r="CY194" s="14"/>
      <c r="CZ194" s="13"/>
      <c r="DA194" s="5"/>
      <c r="DB194" s="14"/>
      <c r="DC194" s="13"/>
      <c r="DD194" s="5"/>
      <c r="DE194" s="14"/>
      <c r="DF194" s="5"/>
      <c r="DG194" s="5"/>
      <c r="DH194" s="5"/>
      <c r="DN194" s="12"/>
    </row>
    <row r="195" spans="3:122" ht="11.25" customHeight="1" thickTop="1" x14ac:dyDescent="0.2">
      <c r="I195" s="50"/>
      <c r="J195" s="50">
        <f>L194-J194</f>
        <v>0</v>
      </c>
      <c r="K195" s="50"/>
      <c r="L195" s="50"/>
      <c r="M195" s="50"/>
      <c r="N195" s="50">
        <f>L194-N194</f>
        <v>0</v>
      </c>
      <c r="O195" s="50"/>
      <c r="P195" s="50">
        <f>L194-P194</f>
        <v>0</v>
      </c>
      <c r="Q195" s="50"/>
      <c r="R195" s="50">
        <f>L194-R194</f>
        <v>0</v>
      </c>
      <c r="S195" s="50"/>
      <c r="T195" s="50">
        <f>L194-T194</f>
        <v>0</v>
      </c>
      <c r="U195" s="50"/>
      <c r="V195" s="50">
        <f>L194-V194</f>
        <v>0</v>
      </c>
    </row>
    <row r="196" spans="3:122" ht="11.25" customHeight="1" x14ac:dyDescent="0.2">
      <c r="I196" s="139" t="str">
        <f>ß101</f>
        <v>Kropp</v>
      </c>
      <c r="J196" s="139"/>
      <c r="K196" s="139" t="str">
        <f>ß102</f>
        <v>Nörnberg</v>
      </c>
      <c r="L196" s="139"/>
      <c r="M196" s="139" t="str">
        <f>ß103</f>
        <v>Bübel</v>
      </c>
      <c r="N196" s="139"/>
      <c r="O196" s="139" t="str">
        <f>ß104</f>
        <v>Schwicht.</v>
      </c>
      <c r="P196" s="139"/>
      <c r="Q196" s="139" t="str">
        <f>ß105</f>
        <v>Rontzko.</v>
      </c>
      <c r="R196" s="139"/>
      <c r="S196" s="139" t="str">
        <f>ß106</f>
        <v>Hauschildt</v>
      </c>
      <c r="T196" s="139"/>
      <c r="U196" s="139" t="str">
        <f>ß107</f>
        <v>Zerres</v>
      </c>
      <c r="V196" s="139"/>
      <c r="AF196" s="11"/>
      <c r="AG196" s="11"/>
      <c r="AH196" s="11"/>
      <c r="AI196" s="11"/>
      <c r="AJ196" s="11"/>
      <c r="AL196" s="5" t="str">
        <f>IF($I209=$AL209,I196,"x")</f>
        <v>Kropp</v>
      </c>
      <c r="AM196" s="5" t="str">
        <f>IF($K209=$AL209,K196,"x")</f>
        <v>Nörnberg</v>
      </c>
      <c r="AN196" s="5" t="str">
        <f>IF($M209=$AL209,M196,"x")</f>
        <v>Bübel</v>
      </c>
      <c r="AO196" s="5" t="str">
        <f>IF($O209=$AL209,O196,"x")</f>
        <v>Schwicht.</v>
      </c>
      <c r="AP196" s="5" t="str">
        <f>IF($Q209=$AL209,Q196,"x")</f>
        <v>Rontzko.</v>
      </c>
      <c r="AQ196" s="5" t="str">
        <f>IF($S209=$AL209,S196,"x")</f>
        <v>Hauschildt</v>
      </c>
      <c r="AR196" s="5" t="str">
        <f>IF($U209=$AL209,U196,"x")</f>
        <v>Zerres</v>
      </c>
      <c r="AS196" s="13" t="str">
        <f>IF($I209=$AM209,I196,"x")</f>
        <v>Kropp</v>
      </c>
      <c r="AT196" s="5" t="str">
        <f>IF($K209=$AM209,K196,"x")</f>
        <v>Nörnberg</v>
      </c>
      <c r="AU196" s="5" t="str">
        <f>IF($M209=$AM209,M196,"x")</f>
        <v>Bübel</v>
      </c>
      <c r="AV196" s="5" t="str">
        <f>IF($O209=$AM209,O196,"x")</f>
        <v>Schwicht.</v>
      </c>
      <c r="AW196" s="5" t="str">
        <f>IF($Q209=$AM209,Q196,"x")</f>
        <v>Rontzko.</v>
      </c>
      <c r="AX196" s="5" t="str">
        <f>IF($S209=$AM209,S196,"x")</f>
        <v>Hauschildt</v>
      </c>
      <c r="AY196" s="5" t="str">
        <f>IF($U209=$AM209,U196,"x")</f>
        <v>Zerres</v>
      </c>
      <c r="BD196" s="140" t="str">
        <f>ß01</f>
        <v>Bayern</v>
      </c>
      <c r="BE196" s="140"/>
      <c r="BF196" s="140"/>
      <c r="BG196" s="141" t="str">
        <f>ß02</f>
        <v>Leipzig</v>
      </c>
      <c r="BH196" s="141"/>
      <c r="BI196" s="141"/>
      <c r="BJ196" s="141" t="str">
        <f>ß03</f>
        <v>Leverk.</v>
      </c>
      <c r="BK196" s="141"/>
      <c r="BL196" s="141"/>
      <c r="BM196" s="141" t="str">
        <f>ß04</f>
        <v>Hoffenheim</v>
      </c>
      <c r="BN196" s="141"/>
      <c r="BO196" s="141"/>
      <c r="BP196" s="141" t="str">
        <f>ß05</f>
        <v>Frankfurt</v>
      </c>
      <c r="BQ196" s="141"/>
      <c r="BR196" s="141"/>
      <c r="BS196" s="141" t="str">
        <f>ß06</f>
        <v>Werder</v>
      </c>
      <c r="BT196" s="141"/>
      <c r="BU196" s="141"/>
      <c r="BV196" s="141" t="str">
        <f>ß07</f>
        <v>Freiburg</v>
      </c>
      <c r="BW196" s="141"/>
      <c r="BX196" s="141"/>
      <c r="BY196" s="141" t="str">
        <f>ß08</f>
        <v>Augsburg</v>
      </c>
      <c r="BZ196" s="141"/>
      <c r="CA196" s="141"/>
      <c r="CB196" s="141" t="str">
        <f>ß09</f>
        <v>Mainz</v>
      </c>
      <c r="CC196" s="141"/>
      <c r="CD196" s="141"/>
      <c r="CE196" s="141" t="str">
        <f>ß10</f>
        <v>Köln</v>
      </c>
      <c r="CF196" s="141"/>
      <c r="CG196" s="141"/>
      <c r="CH196" s="141" t="str">
        <f>ß11</f>
        <v>M'gladb.</v>
      </c>
      <c r="CI196" s="141"/>
      <c r="CJ196" s="141"/>
      <c r="CK196" s="141" t="str">
        <f>ß12</f>
        <v>HSV</v>
      </c>
      <c r="CL196" s="141"/>
      <c r="CM196" s="141"/>
      <c r="CN196" s="141" t="str">
        <f>ß13</f>
        <v>Union</v>
      </c>
      <c r="CO196" s="141"/>
      <c r="CP196" s="141"/>
      <c r="CQ196" s="141" t="str">
        <f>ß14</f>
        <v>Stuttgart</v>
      </c>
      <c r="CR196" s="141"/>
      <c r="CS196" s="141"/>
      <c r="CT196" s="141" t="str">
        <f>ß15</f>
        <v>St. Pauli</v>
      </c>
      <c r="CU196" s="141"/>
      <c r="CV196" s="141"/>
      <c r="CW196" s="141" t="str">
        <f>ß16</f>
        <v>Dortmund</v>
      </c>
      <c r="CX196" s="141"/>
      <c r="CY196" s="141"/>
      <c r="CZ196" s="141" t="str">
        <f>ß17</f>
        <v>Heidenheim</v>
      </c>
      <c r="DA196" s="141"/>
      <c r="DB196" s="141"/>
      <c r="DC196" s="141" t="str">
        <f>ß18</f>
        <v>Wolfsburg</v>
      </c>
      <c r="DD196" s="141"/>
      <c r="DE196" s="141"/>
      <c r="DN196" s="12"/>
    </row>
    <row r="197" spans="3:122" ht="11.25" customHeight="1" x14ac:dyDescent="0.2">
      <c r="C197" s="16" t="str">
        <f>Mannschaften!F14</f>
        <v>14. Spieltag</v>
      </c>
      <c r="D197" s="11"/>
      <c r="E197" s="17" t="str">
        <f>Mannschaften!G14</f>
        <v>12.-14.12.25</v>
      </c>
      <c r="I197" s="19">
        <f>RANK(Rang!A14,Rang!A14:G14)</f>
        <v>1</v>
      </c>
      <c r="J197" s="20">
        <f>RANK(Rang!H14,Rang!H14:N14)</f>
        <v>1</v>
      </c>
      <c r="K197" s="19">
        <f>RANK(Rang!B14,Rang!A14:G14)</f>
        <v>1</v>
      </c>
      <c r="L197" s="20">
        <f>RANK(Rang!I14,Rang!H14:N14)</f>
        <v>1</v>
      </c>
      <c r="M197" s="19">
        <f>RANK(Rang!C14,Rang!A14:G14)</f>
        <v>1</v>
      </c>
      <c r="N197" s="20">
        <f>RANK(Rang!J14,Rang!H14:N14)</f>
        <v>1</v>
      </c>
      <c r="O197" s="19">
        <f>RANK(Rang!D14,Rang!A14:G14)</f>
        <v>1</v>
      </c>
      <c r="P197" s="20">
        <f>RANK(Rang!K14,Rang!H14:N14)</f>
        <v>1</v>
      </c>
      <c r="Q197" s="19">
        <f>RANK(Rang!E14,Rang!A14:G14)</f>
        <v>1</v>
      </c>
      <c r="R197" s="20">
        <f>RANK(Rang!L14,Rang!H14:N14)</f>
        <v>1</v>
      </c>
      <c r="S197" s="19">
        <f>RANK(Rang!F14,Rang!A14:G14)</f>
        <v>1</v>
      </c>
      <c r="T197" s="20">
        <f>RANK(Rang!M14,Rang!H14:N14)</f>
        <v>1</v>
      </c>
      <c r="U197" s="19">
        <f>RANK(Rang!G14,Rang!A14:G14)</f>
        <v>1</v>
      </c>
      <c r="V197" s="20">
        <f>RANK(Rang!N14,Rang!H14:N14)</f>
        <v>1</v>
      </c>
      <c r="AF197" s="22"/>
      <c r="AG197" s="22"/>
      <c r="AH197" s="22"/>
      <c r="AI197" s="22"/>
      <c r="AJ197" s="22"/>
      <c r="AK197" s="21"/>
      <c r="AL197" s="21"/>
      <c r="AM197" s="21"/>
      <c r="AN197" s="21"/>
      <c r="AO197" s="21"/>
      <c r="AP197" s="21"/>
      <c r="AQ197" s="21"/>
      <c r="AR197" s="21"/>
      <c r="AS197" s="24"/>
      <c r="AT197" s="21"/>
      <c r="AU197" s="21"/>
      <c r="AV197" s="21"/>
      <c r="AW197" s="21"/>
      <c r="AX197" s="21"/>
      <c r="AY197" s="21"/>
      <c r="AZ197" s="21"/>
      <c r="BA197" s="21"/>
      <c r="BB197" s="21"/>
      <c r="BD197" s="25" t="s">
        <v>4</v>
      </c>
      <c r="BE197" s="25" t="s">
        <v>5</v>
      </c>
      <c r="BF197" s="26" t="s">
        <v>6</v>
      </c>
      <c r="BG197" s="27" t="s">
        <v>4</v>
      </c>
      <c r="BH197" s="25" t="s">
        <v>5</v>
      </c>
      <c r="BI197" s="26" t="s">
        <v>6</v>
      </c>
      <c r="BJ197" s="27" t="s">
        <v>4</v>
      </c>
      <c r="BK197" s="25" t="s">
        <v>5</v>
      </c>
      <c r="BL197" s="26" t="s">
        <v>6</v>
      </c>
      <c r="BM197" s="27" t="s">
        <v>4</v>
      </c>
      <c r="BN197" s="25" t="s">
        <v>5</v>
      </c>
      <c r="BO197" s="26" t="s">
        <v>6</v>
      </c>
      <c r="BP197" s="27" t="s">
        <v>4</v>
      </c>
      <c r="BQ197" s="25" t="s">
        <v>5</v>
      </c>
      <c r="BR197" s="26" t="s">
        <v>6</v>
      </c>
      <c r="BS197" s="27" t="s">
        <v>4</v>
      </c>
      <c r="BT197" s="25" t="s">
        <v>5</v>
      </c>
      <c r="BU197" s="26" t="s">
        <v>6</v>
      </c>
      <c r="BV197" s="27" t="s">
        <v>4</v>
      </c>
      <c r="BW197" s="25" t="s">
        <v>5</v>
      </c>
      <c r="BX197" s="26" t="s">
        <v>6</v>
      </c>
      <c r="BY197" s="27" t="s">
        <v>4</v>
      </c>
      <c r="BZ197" s="25" t="s">
        <v>5</v>
      </c>
      <c r="CA197" s="26" t="s">
        <v>6</v>
      </c>
      <c r="CB197" s="27" t="s">
        <v>4</v>
      </c>
      <c r="CC197" s="25" t="s">
        <v>5</v>
      </c>
      <c r="CD197" s="26" t="s">
        <v>6</v>
      </c>
      <c r="CE197" s="27" t="s">
        <v>4</v>
      </c>
      <c r="CF197" s="25" t="s">
        <v>5</v>
      </c>
      <c r="CG197" s="26" t="s">
        <v>6</v>
      </c>
      <c r="CH197" s="27" t="s">
        <v>4</v>
      </c>
      <c r="CI197" s="25" t="s">
        <v>5</v>
      </c>
      <c r="CJ197" s="26" t="s">
        <v>6</v>
      </c>
      <c r="CK197" s="27" t="s">
        <v>4</v>
      </c>
      <c r="CL197" s="25" t="s">
        <v>5</v>
      </c>
      <c r="CM197" s="26" t="s">
        <v>6</v>
      </c>
      <c r="CN197" s="27" t="s">
        <v>4</v>
      </c>
      <c r="CO197" s="25" t="s">
        <v>5</v>
      </c>
      <c r="CP197" s="26" t="s">
        <v>6</v>
      </c>
      <c r="CQ197" s="27" t="s">
        <v>4</v>
      </c>
      <c r="CR197" s="25" t="s">
        <v>5</v>
      </c>
      <c r="CS197" s="26" t="s">
        <v>6</v>
      </c>
      <c r="CT197" s="27" t="s">
        <v>4</v>
      </c>
      <c r="CU197" s="25" t="s">
        <v>5</v>
      </c>
      <c r="CV197" s="26" t="s">
        <v>6</v>
      </c>
      <c r="CW197" s="27" t="s">
        <v>4</v>
      </c>
      <c r="CX197" s="25" t="s">
        <v>5</v>
      </c>
      <c r="CY197" s="26" t="s">
        <v>6</v>
      </c>
      <c r="CZ197" s="27" t="s">
        <v>4</v>
      </c>
      <c r="DA197" s="25" t="s">
        <v>5</v>
      </c>
      <c r="DB197" s="26" t="s">
        <v>6</v>
      </c>
      <c r="DC197" s="27" t="s">
        <v>4</v>
      </c>
      <c r="DD197" s="25" t="s">
        <v>5</v>
      </c>
      <c r="DE197" s="26" t="s">
        <v>6</v>
      </c>
      <c r="DF197" s="21"/>
      <c r="DG197" s="21"/>
      <c r="DH197" s="21"/>
      <c r="DN197" s="136" t="s">
        <v>7</v>
      </c>
      <c r="DO197" s="136"/>
      <c r="DP197" s="136" t="s">
        <v>8</v>
      </c>
      <c r="DQ197" s="136"/>
      <c r="DR197" s="28"/>
    </row>
    <row r="198" spans="3:122" ht="11.25" customHeight="1" x14ac:dyDescent="0.2">
      <c r="C198" s="2" t="str">
        <f>ß01</f>
        <v>Bayern</v>
      </c>
      <c r="D198" s="3" t="s">
        <v>11</v>
      </c>
      <c r="E198" s="2" t="str">
        <f>ß09</f>
        <v>Mainz</v>
      </c>
      <c r="F198" s="29"/>
      <c r="G198" s="3" t="s">
        <v>12</v>
      </c>
      <c r="H198" s="30"/>
      <c r="I198" s="31"/>
      <c r="J198" s="32" t="str">
        <f t="shared" ref="J198:J206" si="187">IF($F198="","",(IF(I198="","",IF(I198=$DG198,(VLOOKUP($DH198,$DJ$3:$DK$11,2,FALSE())),0))))</f>
        <v/>
      </c>
      <c r="K198" s="31"/>
      <c r="L198" s="32" t="str">
        <f t="shared" ref="L198:L206" si="188">IF($F198="","",(IF(K198="","",IF(K198=$DG198,(VLOOKUP($DH198,$DJ$3:$DK$11,2,FALSE())),0))))</f>
        <v/>
      </c>
      <c r="M198" s="31"/>
      <c r="N198" s="32" t="str">
        <f t="shared" ref="N198:N206" si="189">IF($F198="","",(IF(M198="","",IF(M198=$DG198,(VLOOKUP($DH198,$DJ$3:$DK$11,2,FALSE())),0))))</f>
        <v/>
      </c>
      <c r="O198" s="31"/>
      <c r="P198" s="32" t="str">
        <f t="shared" ref="P198:P206" si="190">IF($F198="","",(IF(O198="","",IF(O198=$DG198,(VLOOKUP($DH198,$DJ$3:$DK$11,2,FALSE())),0))))</f>
        <v/>
      </c>
      <c r="Q198" s="31"/>
      <c r="R198" s="32" t="str">
        <f t="shared" ref="R198:R206" si="191">IF($F198="","",(IF(Q198="","",IF(Q198=$DG198,(VLOOKUP($DH198,$DJ$3:$DK$11,2,FALSE())),0))))</f>
        <v/>
      </c>
      <c r="S198" s="31"/>
      <c r="T198" s="32" t="str">
        <f t="shared" ref="T198:T206" si="192">IF($F198="","",(IF(S198="","",IF(S198=$DG198,(VLOOKUP($DH198,$DJ$3:$DK$11,2,FALSE())),0))))</f>
        <v/>
      </c>
      <c r="U198" s="31"/>
      <c r="V198" s="32" t="str">
        <f t="shared" ref="V198:V206" si="193">IF($F198="","",(IF(U198="","",IF(U198=$DG198,(VLOOKUP($DH198,$DJ$3:$DK$11,2,FALSE())),0))))</f>
        <v/>
      </c>
      <c r="AF198" s="34"/>
      <c r="AG198" s="34"/>
      <c r="AH198" s="34"/>
      <c r="AI198" s="34"/>
      <c r="AJ198" s="34"/>
      <c r="AN198" s="5"/>
      <c r="AO198" s="5"/>
      <c r="AP198" s="5"/>
      <c r="AQ198" s="5"/>
      <c r="AR198" s="5"/>
      <c r="AS198" s="13"/>
      <c r="AT198" s="5"/>
      <c r="AU198" s="5"/>
      <c r="AV198" s="5"/>
      <c r="AW198" s="5"/>
      <c r="AX198" s="5"/>
      <c r="AY198" s="5"/>
      <c r="BC198" s="6">
        <v>197</v>
      </c>
      <c r="BD198" s="35">
        <f>IF(ISERROR(MATCH(ß01,$C198:$C206,0)),"",MATCH(ß01,$C198:$C206,0))</f>
        <v>1</v>
      </c>
      <c r="BE198" s="35" t="str">
        <f>IF(ISERROR(MATCH(ß01,$E198:$E206,0)),"",MATCH(ß01,$E198:$E206,0))</f>
        <v/>
      </c>
      <c r="BF198" s="15">
        <f>SUM(BD198:BE198)+BC198</f>
        <v>198</v>
      </c>
      <c r="BG198" s="36" t="str">
        <f>IF(ISERROR(MATCH(ß02,$C198:$C206,0)),"",MATCH(ß02,$C198:$C206,0))</f>
        <v/>
      </c>
      <c r="BH198" s="35">
        <f>IF(ISERROR(MATCH(ß02,$E198:$E206,0)),"",MATCH(ß02,$E198:$E206,0))</f>
        <v>7</v>
      </c>
      <c r="BI198" s="15">
        <f>SUM(BG198:BH198)+BC198</f>
        <v>204</v>
      </c>
      <c r="BJ198" s="36">
        <f>IF(ISERROR(MATCH(ß03,$C198:$C206,0)),"",MATCH(ß03,$C198:$C206,0))</f>
        <v>2</v>
      </c>
      <c r="BK198" s="35" t="str">
        <f>IF(ISERROR(MATCH(ß03,$E198:$E206,0)),"",MATCH(ß03,$E198:$E206,0))</f>
        <v/>
      </c>
      <c r="BL198" s="15">
        <f>SUM(BJ198:BK198)+BC198</f>
        <v>199</v>
      </c>
      <c r="BM198" s="36">
        <f>IF(ISERROR(MATCH(ß04,$C198:$C206,0)),"",MATCH(ß04,$C198:$C206,0))</f>
        <v>9</v>
      </c>
      <c r="BN198" s="35" t="str">
        <f>IF(ISERROR(MATCH(ß04,$E198:$E206,0)),"",MATCH(ß04,$E198:$E206,0))</f>
        <v/>
      </c>
      <c r="BO198" s="15">
        <f>SUM(BM198:BN198)+BC198</f>
        <v>206</v>
      </c>
      <c r="BP198" s="36">
        <f>IF(ISERROR(MATCH(ß05,$C198:$C206,0)),"",MATCH(ß05,$C198:$C206,0))</f>
        <v>3</v>
      </c>
      <c r="BQ198" s="35" t="str">
        <f>IF(ISERROR(MATCH(ß05,$E198:$E206,0)),"",MATCH(ß05,$E198:$E206,0))</f>
        <v/>
      </c>
      <c r="BR198" s="15">
        <f>SUM(BP198:BQ198)+BC198</f>
        <v>200</v>
      </c>
      <c r="BS198" s="36">
        <f>IF(ISERROR(MATCH(ß06,$C198:$C206,0)),"",MATCH(ß06,$C198:$C206,0))</f>
        <v>5</v>
      </c>
      <c r="BT198" s="35" t="str">
        <f>IF(ISERROR(MATCH(ß06,$E198:$E206,0)),"",MATCH(ß06,$E198:$E206,0))</f>
        <v/>
      </c>
      <c r="BU198" s="15">
        <f>SUM(BS198:BT198)+BC198</f>
        <v>202</v>
      </c>
      <c r="BV198" s="36">
        <f>IF(ISERROR(MATCH(ß07,$C198:$C206,0)),"",MATCH(ß07,$C198:$C206,0))</f>
        <v>4</v>
      </c>
      <c r="BW198" s="35" t="str">
        <f>IF(ISERROR(MATCH(ß07,$E198:$E206,0)),"",MATCH(ß07,$E198:$E206,0))</f>
        <v/>
      </c>
      <c r="BX198" s="15">
        <f>SUM(BV198:BW198)+BC198</f>
        <v>201</v>
      </c>
      <c r="BY198" s="36" t="str">
        <f>IF(ISERROR(MATCH(ß08,$C198:$C206,0)),"",MATCH(ß08,$C198:$C206,0))</f>
        <v/>
      </c>
      <c r="BZ198" s="35">
        <f>IF(ISERROR(MATCH(ß08,$E198:$E206,0)),"",MATCH(ß08,$E198:$E206,0))</f>
        <v>3</v>
      </c>
      <c r="CA198" s="15">
        <f>SUM(BY198:BZ198)+BC198</f>
        <v>200</v>
      </c>
      <c r="CB198" s="36" t="str">
        <f>IF(ISERROR(MATCH(ß09,$C198:$C206,0)),"",MATCH(ß09,$C198:$C206,0))</f>
        <v/>
      </c>
      <c r="CC198" s="35">
        <f>IF(ISERROR(MATCH(ß09,$E198:$E206,0)),"",MATCH(ß09,$E198:$E206,0))</f>
        <v>1</v>
      </c>
      <c r="CD198" s="15">
        <f>SUM(CB198:CC198)+BC198</f>
        <v>198</v>
      </c>
      <c r="CE198" s="36" t="str">
        <f>IF(ISERROR(MATCH(ß10,$C198:$C206,0)),"",MATCH(ß10,$C198:$C206,0))</f>
        <v/>
      </c>
      <c r="CF198" s="35">
        <f>IF(ISERROR(MATCH(ß10,$E198:$E206,0)),"",MATCH(ß10,$E198:$E206,0))</f>
        <v>2</v>
      </c>
      <c r="CG198" s="15">
        <f>SUM(CE198:CF198)+BC198</f>
        <v>199</v>
      </c>
      <c r="CH198" s="36">
        <f>IF(ISERROR(MATCH(ß11,$C198:$C206,0)),"",MATCH(ß11,$C198:$C206,0))</f>
        <v>6</v>
      </c>
      <c r="CI198" s="35" t="str">
        <f>IF(ISERROR(MATCH(ß11,$E198:$E206,0)),"",MATCH(ß11,$E198:$E206,0))</f>
        <v/>
      </c>
      <c r="CJ198" s="15">
        <f>SUM(CH198:CI198)+BC198</f>
        <v>203</v>
      </c>
      <c r="CK198" s="36" t="str">
        <f>IF(ISERROR(MATCH(ß12,$C198:$C206,0)),"",MATCH(ß12,$C198:$C206,0))</f>
        <v/>
      </c>
      <c r="CL198" s="35">
        <f>IF(ISERROR(MATCH(ß12,$E198:$E206,0)),"",MATCH(ß12,$E198:$E206,0))</f>
        <v>9</v>
      </c>
      <c r="CM198" s="15">
        <f>SUM(CK198:CL198)+BC198</f>
        <v>206</v>
      </c>
      <c r="CN198" s="36">
        <f>IF(ISERROR(MATCH(ß13,$C198:$C206,0)),"",MATCH(ß13,$C198:$C206,0))</f>
        <v>7</v>
      </c>
      <c r="CO198" s="35" t="str">
        <f>IF(ISERROR(MATCH(ß13,$E198:$E206,0)),"",MATCH(ß13,$E198:$E206,0))</f>
        <v/>
      </c>
      <c r="CP198" s="15">
        <f>SUM(CN198:CO198)+BC198</f>
        <v>204</v>
      </c>
      <c r="CQ198" s="36" t="str">
        <f>IF(ISERROR(MATCH(ß14,$C198:$C206,0)),"",MATCH(ß14,$C198:$C206,0))</f>
        <v/>
      </c>
      <c r="CR198" s="35">
        <f>IF(ISERROR(MATCH(ß14,$E198:$E206,0)),"",MATCH(ß14,$E198:$E206,0))</f>
        <v>5</v>
      </c>
      <c r="CS198" s="15">
        <f>SUM(CQ198:CR198)+BC198</f>
        <v>202</v>
      </c>
      <c r="CT198" s="36">
        <f>IF(ISERROR(MATCH(ß15,$C198:$C206,0)),"",MATCH(ß15,$C198:$C206,0))</f>
        <v>8</v>
      </c>
      <c r="CU198" s="35" t="str">
        <f>IF(ISERROR(MATCH(ß15,$E198:$E206,0)),"",MATCH(ß15,$E198:$E206,0))</f>
        <v/>
      </c>
      <c r="CV198" s="15">
        <f>SUM(CT198:CU198)+BC198</f>
        <v>205</v>
      </c>
      <c r="CW198" s="36" t="str">
        <f>IF(ISERROR(MATCH(ß16,$C198:$C206,0)),"",MATCH(ß16,$C198:$C206,0))</f>
        <v/>
      </c>
      <c r="CX198" s="35">
        <f>IF(ISERROR(MATCH(ß16,$E198:$E206,0)),"",MATCH(ß16,$E198:$E206,0))</f>
        <v>4</v>
      </c>
      <c r="CY198" s="15">
        <f>SUM(CW198:CX198)+BC198</f>
        <v>201</v>
      </c>
      <c r="CZ198" s="36" t="str">
        <f>IF(ISERROR(MATCH(ß17,$C198:$C206,0)),"",MATCH(ß17,$C198:$C206,0))</f>
        <v/>
      </c>
      <c r="DA198" s="35">
        <f>IF(ISERROR(MATCH(ß17,$E198:$E206,0)),"",MATCH(ß17,$E198:$E206,0))</f>
        <v>8</v>
      </c>
      <c r="DB198" s="15">
        <f>SUM(CZ198:DA198)+BC198</f>
        <v>205</v>
      </c>
      <c r="DC198" s="36" t="str">
        <f>IF(ISERROR(MATCH(ß18,$C198:$C206,0)),"",MATCH(ß18,$C198:$C206,0))</f>
        <v/>
      </c>
      <c r="DD198" s="35">
        <f>IF(ISERROR(MATCH(ß18,$E198:$E206,0)),"",MATCH(ß18,$E198:$E206,0))</f>
        <v>6</v>
      </c>
      <c r="DE198" s="15">
        <f>SUM(DC198:DD198)+BC198</f>
        <v>203</v>
      </c>
      <c r="DG198" s="8" t="str">
        <f t="shared" ref="DG198:DG206" si="194">IF(F198="","",(IF(F198=H198,0,IF(F198&gt;H198,1,IF(F198&lt;H198,2)))))</f>
        <v/>
      </c>
      <c r="DH198" s="3">
        <f>COUNTIF(I198,DG198)+COUNTIF(K198,DG198)+COUNTIF(M198,DG198)+COUNTIF(O198,DG198)+COUNTIF(Q198,DG198)+COUNTIF(S198,DG198)+COUNTIF(U198,DG198)</f>
        <v>7</v>
      </c>
      <c r="DN198" s="12">
        <f t="shared" ref="DN198:DN206" si="195">F198</f>
        <v>0</v>
      </c>
      <c r="DO198" s="5">
        <f t="shared" ref="DO198:DO206" si="196">H198</f>
        <v>0</v>
      </c>
      <c r="DP198" s="5" t="str">
        <f t="shared" ref="DP198:DP206" si="197">IF($F198="","",IF(DN198&gt;DO198,3,IF(DN198&lt;DO198,0,1)))</f>
        <v/>
      </c>
      <c r="DQ198" s="5" t="str">
        <f t="shared" ref="DQ198:DQ206" si="198">IF($H198="","",IF(DO198&gt;DN198,3,IF(DO198&lt;DN198,0,1)))</f>
        <v/>
      </c>
      <c r="DR198" s="5">
        <f t="shared" ref="DR198:DR206" si="199">IF(ISBLANK(F198),0,1)</f>
        <v>0</v>
      </c>
    </row>
    <row r="199" spans="3:122" ht="11.25" customHeight="1" x14ac:dyDescent="0.2">
      <c r="C199" s="2" t="str">
        <f>ß03</f>
        <v>Leverk.</v>
      </c>
      <c r="D199" s="3" t="s">
        <v>11</v>
      </c>
      <c r="E199" s="2" t="str">
        <f>ß10</f>
        <v>Köln</v>
      </c>
      <c r="F199" s="29"/>
      <c r="G199" s="3" t="s">
        <v>12</v>
      </c>
      <c r="H199" s="30"/>
      <c r="I199" s="37"/>
      <c r="J199" s="38" t="str">
        <f t="shared" si="187"/>
        <v/>
      </c>
      <c r="K199" s="37"/>
      <c r="L199" s="38" t="str">
        <f t="shared" si="188"/>
        <v/>
      </c>
      <c r="M199" s="37"/>
      <c r="N199" s="38" t="str">
        <f t="shared" si="189"/>
        <v/>
      </c>
      <c r="O199" s="37"/>
      <c r="P199" s="38" t="str">
        <f t="shared" si="190"/>
        <v/>
      </c>
      <c r="Q199" s="37"/>
      <c r="R199" s="38" t="str">
        <f t="shared" si="191"/>
        <v/>
      </c>
      <c r="S199" s="37"/>
      <c r="T199" s="38" t="str">
        <f t="shared" si="192"/>
        <v/>
      </c>
      <c r="U199" s="37"/>
      <c r="V199" s="38" t="str">
        <f t="shared" si="193"/>
        <v/>
      </c>
      <c r="AF199" s="34"/>
      <c r="AG199" s="34"/>
      <c r="AH199" s="34"/>
      <c r="AI199" s="34"/>
      <c r="AJ199" s="34"/>
      <c r="DG199" s="8" t="str">
        <f t="shared" si="194"/>
        <v/>
      </c>
      <c r="DH199" s="3">
        <f t="shared" ref="DH199:DH206" si="200">COUNTIF(I199,DG199)+COUNTIF(K199,DG199)+COUNTIF(M199,DG199)+COUNTIF(O199,DG199)+COUNTIF(Q199,DG199)+COUNTIF(S199,DG199)+COUNTIF(U199,DG199)</f>
        <v>7</v>
      </c>
      <c r="DN199" s="12">
        <f t="shared" si="195"/>
        <v>0</v>
      </c>
      <c r="DO199" s="5">
        <f t="shared" si="196"/>
        <v>0</v>
      </c>
      <c r="DP199" s="5" t="str">
        <f t="shared" si="197"/>
        <v/>
      </c>
      <c r="DQ199" s="5" t="str">
        <f t="shared" si="198"/>
        <v/>
      </c>
      <c r="DR199" s="5">
        <f t="shared" si="199"/>
        <v>0</v>
      </c>
    </row>
    <row r="200" spans="3:122" ht="11.25" customHeight="1" x14ac:dyDescent="0.2">
      <c r="C200" s="2" t="str">
        <f>ß05</f>
        <v>Frankfurt</v>
      </c>
      <c r="D200" s="3" t="s">
        <v>11</v>
      </c>
      <c r="E200" s="2" t="str">
        <f>ß08</f>
        <v>Augsburg</v>
      </c>
      <c r="F200" s="29"/>
      <c r="G200" s="3" t="s">
        <v>12</v>
      </c>
      <c r="H200" s="30"/>
      <c r="I200" s="37"/>
      <c r="J200" s="38" t="str">
        <f t="shared" si="187"/>
        <v/>
      </c>
      <c r="K200" s="37"/>
      <c r="L200" s="38" t="str">
        <f t="shared" si="188"/>
        <v/>
      </c>
      <c r="M200" s="37"/>
      <c r="N200" s="38" t="str">
        <f t="shared" si="189"/>
        <v/>
      </c>
      <c r="O200" s="37"/>
      <c r="P200" s="38" t="str">
        <f t="shared" si="190"/>
        <v/>
      </c>
      <c r="Q200" s="37"/>
      <c r="R200" s="38" t="str">
        <f t="shared" si="191"/>
        <v/>
      </c>
      <c r="S200" s="37"/>
      <c r="T200" s="38" t="str">
        <f t="shared" si="192"/>
        <v/>
      </c>
      <c r="U200" s="37"/>
      <c r="V200" s="38" t="str">
        <f t="shared" si="193"/>
        <v/>
      </c>
      <c r="AF200" s="34"/>
      <c r="AG200" s="34"/>
      <c r="AH200" s="34"/>
      <c r="AI200" s="34"/>
      <c r="AJ200" s="34"/>
      <c r="DG200" s="8" t="str">
        <f t="shared" si="194"/>
        <v/>
      </c>
      <c r="DH200" s="3">
        <f t="shared" si="200"/>
        <v>7</v>
      </c>
      <c r="DN200" s="12">
        <f t="shared" si="195"/>
        <v>0</v>
      </c>
      <c r="DO200" s="5">
        <f t="shared" si="196"/>
        <v>0</v>
      </c>
      <c r="DP200" s="5" t="str">
        <f t="shared" si="197"/>
        <v/>
      </c>
      <c r="DQ200" s="5" t="str">
        <f t="shared" si="198"/>
        <v/>
      </c>
      <c r="DR200" s="5">
        <f t="shared" si="199"/>
        <v>0</v>
      </c>
    </row>
    <row r="201" spans="3:122" ht="11.25" customHeight="1" x14ac:dyDescent="0.2">
      <c r="C201" s="2" t="str">
        <f>ß07</f>
        <v>Freiburg</v>
      </c>
      <c r="D201" s="3" t="s">
        <v>11</v>
      </c>
      <c r="E201" s="2" t="str">
        <f>ß16</f>
        <v>Dortmund</v>
      </c>
      <c r="F201" s="29"/>
      <c r="G201" s="3" t="s">
        <v>12</v>
      </c>
      <c r="H201" s="30"/>
      <c r="I201" s="37"/>
      <c r="J201" s="38" t="str">
        <f t="shared" si="187"/>
        <v/>
      </c>
      <c r="K201" s="37"/>
      <c r="L201" s="38" t="str">
        <f t="shared" si="188"/>
        <v/>
      </c>
      <c r="M201" s="37"/>
      <c r="N201" s="38" t="str">
        <f t="shared" si="189"/>
        <v/>
      </c>
      <c r="O201" s="37"/>
      <c r="P201" s="38" t="str">
        <f t="shared" si="190"/>
        <v/>
      </c>
      <c r="Q201" s="37"/>
      <c r="R201" s="38" t="str">
        <f t="shared" si="191"/>
        <v/>
      </c>
      <c r="S201" s="37"/>
      <c r="T201" s="38" t="str">
        <f t="shared" si="192"/>
        <v/>
      </c>
      <c r="U201" s="37"/>
      <c r="V201" s="38" t="str">
        <f t="shared" si="193"/>
        <v/>
      </c>
      <c r="AF201" s="34"/>
      <c r="AG201" s="34"/>
      <c r="AH201" s="34"/>
      <c r="AI201" s="34"/>
      <c r="AJ201" s="34"/>
      <c r="DG201" s="8" t="str">
        <f t="shared" si="194"/>
        <v/>
      </c>
      <c r="DH201" s="3">
        <f t="shared" si="200"/>
        <v>7</v>
      </c>
      <c r="DN201" s="12">
        <f t="shared" si="195"/>
        <v>0</v>
      </c>
      <c r="DO201" s="5">
        <f t="shared" si="196"/>
        <v>0</v>
      </c>
      <c r="DP201" s="5" t="str">
        <f t="shared" si="197"/>
        <v/>
      </c>
      <c r="DQ201" s="5" t="str">
        <f t="shared" si="198"/>
        <v/>
      </c>
      <c r="DR201" s="5">
        <f t="shared" si="199"/>
        <v>0</v>
      </c>
    </row>
    <row r="202" spans="3:122" ht="11.25" customHeight="1" x14ac:dyDescent="0.2">
      <c r="C202" s="2" t="str">
        <f>ß06</f>
        <v>Werder</v>
      </c>
      <c r="D202" s="3" t="s">
        <v>11</v>
      </c>
      <c r="E202" s="2" t="str">
        <f>ß14</f>
        <v>Stuttgart</v>
      </c>
      <c r="F202" s="29"/>
      <c r="G202" s="3" t="s">
        <v>12</v>
      </c>
      <c r="H202" s="30"/>
      <c r="I202" s="37"/>
      <c r="J202" s="38" t="str">
        <f t="shared" si="187"/>
        <v/>
      </c>
      <c r="K202" s="37"/>
      <c r="L202" s="38" t="str">
        <f t="shared" si="188"/>
        <v/>
      </c>
      <c r="M202" s="37"/>
      <c r="N202" s="38" t="str">
        <f t="shared" si="189"/>
        <v/>
      </c>
      <c r="O202" s="37"/>
      <c r="P202" s="38" t="str">
        <f t="shared" si="190"/>
        <v/>
      </c>
      <c r="Q202" s="37"/>
      <c r="R202" s="38" t="str">
        <f t="shared" si="191"/>
        <v/>
      </c>
      <c r="S202" s="37"/>
      <c r="T202" s="38" t="str">
        <f t="shared" si="192"/>
        <v/>
      </c>
      <c r="U202" s="37"/>
      <c r="V202" s="38" t="str">
        <f t="shared" si="193"/>
        <v/>
      </c>
      <c r="AF202" s="34"/>
      <c r="AG202" s="34"/>
      <c r="AH202" s="34"/>
      <c r="AI202" s="34"/>
      <c r="AJ202" s="34"/>
      <c r="DG202" s="8" t="str">
        <f t="shared" si="194"/>
        <v/>
      </c>
      <c r="DH202" s="3">
        <f t="shared" si="200"/>
        <v>7</v>
      </c>
      <c r="DN202" s="12">
        <f t="shared" si="195"/>
        <v>0</v>
      </c>
      <c r="DO202" s="5">
        <f t="shared" si="196"/>
        <v>0</v>
      </c>
      <c r="DP202" s="5" t="str">
        <f t="shared" si="197"/>
        <v/>
      </c>
      <c r="DQ202" s="5" t="str">
        <f t="shared" si="198"/>
        <v/>
      </c>
      <c r="DR202" s="5">
        <f t="shared" si="199"/>
        <v>0</v>
      </c>
    </row>
    <row r="203" spans="3:122" ht="11.25" customHeight="1" x14ac:dyDescent="0.2">
      <c r="C203" s="2" t="str">
        <f>ß11</f>
        <v>M'gladb.</v>
      </c>
      <c r="D203" s="3" t="s">
        <v>11</v>
      </c>
      <c r="E203" s="2" t="str">
        <f>ß18</f>
        <v>Wolfsburg</v>
      </c>
      <c r="F203" s="29"/>
      <c r="G203" s="3" t="s">
        <v>12</v>
      </c>
      <c r="H203" s="30"/>
      <c r="I203" s="37"/>
      <c r="J203" s="38" t="str">
        <f t="shared" si="187"/>
        <v/>
      </c>
      <c r="K203" s="37"/>
      <c r="L203" s="38" t="str">
        <f t="shared" si="188"/>
        <v/>
      </c>
      <c r="M203" s="37"/>
      <c r="N203" s="38" t="str">
        <f t="shared" si="189"/>
        <v/>
      </c>
      <c r="O203" s="37"/>
      <c r="P203" s="38" t="str">
        <f t="shared" si="190"/>
        <v/>
      </c>
      <c r="Q203" s="37"/>
      <c r="R203" s="38" t="str">
        <f t="shared" si="191"/>
        <v/>
      </c>
      <c r="S203" s="37"/>
      <c r="T203" s="38" t="str">
        <f t="shared" si="192"/>
        <v/>
      </c>
      <c r="U203" s="37"/>
      <c r="V203" s="38" t="str">
        <f t="shared" si="193"/>
        <v/>
      </c>
      <c r="AF203" s="34"/>
      <c r="AG203" s="34"/>
      <c r="AH203" s="34"/>
      <c r="AI203" s="34"/>
      <c r="AJ203" s="34"/>
      <c r="DG203" s="8" t="str">
        <f t="shared" si="194"/>
        <v/>
      </c>
      <c r="DH203" s="3">
        <f t="shared" si="200"/>
        <v>7</v>
      </c>
      <c r="DN203" s="12">
        <f t="shared" si="195"/>
        <v>0</v>
      </c>
      <c r="DO203" s="5">
        <f t="shared" si="196"/>
        <v>0</v>
      </c>
      <c r="DP203" s="5" t="str">
        <f t="shared" si="197"/>
        <v/>
      </c>
      <c r="DQ203" s="5" t="str">
        <f t="shared" si="198"/>
        <v/>
      </c>
      <c r="DR203" s="5">
        <f t="shared" si="199"/>
        <v>0</v>
      </c>
    </row>
    <row r="204" spans="3:122" ht="11.25" customHeight="1" x14ac:dyDescent="0.2">
      <c r="C204" s="2" t="str">
        <f>ß13</f>
        <v>Union</v>
      </c>
      <c r="D204" s="3" t="s">
        <v>11</v>
      </c>
      <c r="E204" s="2" t="str">
        <f>ß02</f>
        <v>Leipzig</v>
      </c>
      <c r="F204" s="29"/>
      <c r="G204" s="3" t="s">
        <v>12</v>
      </c>
      <c r="H204" s="30"/>
      <c r="I204" s="37"/>
      <c r="J204" s="38" t="str">
        <f t="shared" si="187"/>
        <v/>
      </c>
      <c r="K204" s="37"/>
      <c r="L204" s="38" t="str">
        <f t="shared" si="188"/>
        <v/>
      </c>
      <c r="M204" s="37"/>
      <c r="N204" s="38" t="str">
        <f t="shared" si="189"/>
        <v/>
      </c>
      <c r="O204" s="37"/>
      <c r="P204" s="38" t="str">
        <f t="shared" si="190"/>
        <v/>
      </c>
      <c r="Q204" s="37"/>
      <c r="R204" s="38" t="str">
        <f t="shared" si="191"/>
        <v/>
      </c>
      <c r="S204" s="37"/>
      <c r="T204" s="38" t="str">
        <f t="shared" si="192"/>
        <v/>
      </c>
      <c r="U204" s="37"/>
      <c r="V204" s="38" t="str">
        <f t="shared" si="193"/>
        <v/>
      </c>
      <c r="AF204" s="34"/>
      <c r="AG204" s="34"/>
      <c r="AH204" s="34"/>
      <c r="AI204" s="34"/>
      <c r="AJ204" s="34"/>
      <c r="DG204" s="8" t="str">
        <f t="shared" si="194"/>
        <v/>
      </c>
      <c r="DH204" s="3">
        <f t="shared" si="200"/>
        <v>7</v>
      </c>
      <c r="DN204" s="12">
        <f t="shared" si="195"/>
        <v>0</v>
      </c>
      <c r="DO204" s="5">
        <f t="shared" si="196"/>
        <v>0</v>
      </c>
      <c r="DP204" s="5" t="str">
        <f t="shared" si="197"/>
        <v/>
      </c>
      <c r="DQ204" s="5" t="str">
        <f t="shared" si="198"/>
        <v/>
      </c>
      <c r="DR204" s="5">
        <f t="shared" si="199"/>
        <v>0</v>
      </c>
    </row>
    <row r="205" spans="3:122" ht="11.25" customHeight="1" x14ac:dyDescent="0.2">
      <c r="C205" s="2" t="str">
        <f>ß15</f>
        <v>St. Pauli</v>
      </c>
      <c r="D205" s="3" t="s">
        <v>11</v>
      </c>
      <c r="E205" s="2" t="str">
        <f>ß17</f>
        <v>Heidenheim</v>
      </c>
      <c r="F205" s="29"/>
      <c r="G205" s="3" t="s">
        <v>12</v>
      </c>
      <c r="H205" s="30"/>
      <c r="I205" s="37"/>
      <c r="J205" s="38" t="str">
        <f t="shared" si="187"/>
        <v/>
      </c>
      <c r="K205" s="37"/>
      <c r="L205" s="38" t="str">
        <f t="shared" si="188"/>
        <v/>
      </c>
      <c r="M205" s="37"/>
      <c r="N205" s="38" t="str">
        <f t="shared" si="189"/>
        <v/>
      </c>
      <c r="O205" s="37"/>
      <c r="P205" s="38" t="str">
        <f t="shared" si="190"/>
        <v/>
      </c>
      <c r="Q205" s="37"/>
      <c r="R205" s="38" t="str">
        <f t="shared" si="191"/>
        <v/>
      </c>
      <c r="S205" s="37"/>
      <c r="T205" s="38" t="str">
        <f t="shared" si="192"/>
        <v/>
      </c>
      <c r="U205" s="37"/>
      <c r="V205" s="38" t="str">
        <f t="shared" si="193"/>
        <v/>
      </c>
      <c r="AF205" s="34"/>
      <c r="AG205" s="34"/>
      <c r="AH205" s="34"/>
      <c r="AI205" s="34"/>
      <c r="AJ205" s="34"/>
      <c r="DG205" s="8" t="str">
        <f t="shared" si="194"/>
        <v/>
      </c>
      <c r="DH205" s="3">
        <f t="shared" si="200"/>
        <v>7</v>
      </c>
      <c r="DN205" s="12">
        <f t="shared" si="195"/>
        <v>0</v>
      </c>
      <c r="DO205" s="5">
        <f t="shared" si="196"/>
        <v>0</v>
      </c>
      <c r="DP205" s="5" t="str">
        <f t="shared" si="197"/>
        <v/>
      </c>
      <c r="DQ205" s="5" t="str">
        <f t="shared" si="198"/>
        <v/>
      </c>
      <c r="DR205" s="5">
        <f t="shared" si="199"/>
        <v>0</v>
      </c>
    </row>
    <row r="206" spans="3:122" ht="11.25" customHeight="1" thickBot="1" x14ac:dyDescent="0.25">
      <c r="C206" s="2" t="str">
        <f>ß04</f>
        <v>Hoffenheim</v>
      </c>
      <c r="D206" s="3" t="s">
        <v>11</v>
      </c>
      <c r="E206" s="2" t="str">
        <f>ß12</f>
        <v>HSV</v>
      </c>
      <c r="F206" s="29"/>
      <c r="G206" s="3" t="s">
        <v>12</v>
      </c>
      <c r="H206" s="30"/>
      <c r="I206" s="37"/>
      <c r="J206" s="38" t="str">
        <f t="shared" si="187"/>
        <v/>
      </c>
      <c r="K206" s="37"/>
      <c r="L206" s="38" t="str">
        <f t="shared" si="188"/>
        <v/>
      </c>
      <c r="M206" s="37"/>
      <c r="N206" s="38" t="str">
        <f t="shared" si="189"/>
        <v/>
      </c>
      <c r="O206" s="37"/>
      <c r="P206" s="38" t="str">
        <f t="shared" si="190"/>
        <v/>
      </c>
      <c r="Q206" s="37"/>
      <c r="R206" s="38" t="str">
        <f t="shared" si="191"/>
        <v/>
      </c>
      <c r="S206" s="37"/>
      <c r="T206" s="38" t="str">
        <f t="shared" si="192"/>
        <v/>
      </c>
      <c r="U206" s="37"/>
      <c r="V206" s="38" t="str">
        <f t="shared" si="193"/>
        <v/>
      </c>
      <c r="AF206" s="34"/>
      <c r="AG206" s="34"/>
      <c r="AH206" s="34"/>
      <c r="AI206" s="34"/>
      <c r="AJ206" s="34"/>
      <c r="DG206" s="8" t="str">
        <f t="shared" si="194"/>
        <v/>
      </c>
      <c r="DH206" s="3">
        <f t="shared" si="200"/>
        <v>7</v>
      </c>
      <c r="DN206" s="12">
        <f t="shared" si="195"/>
        <v>0</v>
      </c>
      <c r="DO206" s="5">
        <f t="shared" si="196"/>
        <v>0</v>
      </c>
      <c r="DP206" s="5" t="str">
        <f t="shared" si="197"/>
        <v/>
      </c>
      <c r="DQ206" s="5" t="str">
        <f t="shared" si="198"/>
        <v/>
      </c>
      <c r="DR206" s="5">
        <f t="shared" si="199"/>
        <v>0</v>
      </c>
    </row>
    <row r="207" spans="3:122" ht="11.25" customHeight="1" thickTop="1" x14ac:dyDescent="0.2">
      <c r="C207" s="41">
        <f>(I207+K207+M207+O207+Q207+S207+U207)</f>
        <v>0</v>
      </c>
      <c r="E207" s="42">
        <f>C207/8</f>
        <v>0</v>
      </c>
      <c r="F207" s="41">
        <f>SUM(F198:F206)</f>
        <v>0</v>
      </c>
      <c r="G207" s="2"/>
      <c r="H207" s="43">
        <f>SUM(H198:H206)</f>
        <v>0</v>
      </c>
      <c r="I207" s="44">
        <f>COUNTIF(J198:J206,"&gt;0")</f>
        <v>0</v>
      </c>
      <c r="J207" s="45">
        <f>I207+J192</f>
        <v>0</v>
      </c>
      <c r="K207" s="44">
        <f>COUNTIF(L198:L206,"&gt;0")</f>
        <v>0</v>
      </c>
      <c r="L207" s="45">
        <f>K207+L192</f>
        <v>0</v>
      </c>
      <c r="M207" s="44">
        <f>COUNTIF(N198:N206,"&gt;0")</f>
        <v>0</v>
      </c>
      <c r="N207" s="45">
        <f>M207+N192</f>
        <v>0</v>
      </c>
      <c r="O207" s="44">
        <f>COUNTIF(P198:P206,"&gt;0")</f>
        <v>0</v>
      </c>
      <c r="P207" s="45">
        <f>O207+P192</f>
        <v>0</v>
      </c>
      <c r="Q207" s="44">
        <f>COUNTIF(R198:R206,"&gt;0")</f>
        <v>0</v>
      </c>
      <c r="R207" s="45">
        <f>Q207+R192</f>
        <v>0</v>
      </c>
      <c r="S207" s="44">
        <f>COUNTIF(T198:T206,"&gt;0")</f>
        <v>0</v>
      </c>
      <c r="T207" s="45">
        <f>S207+T192</f>
        <v>0</v>
      </c>
      <c r="U207" s="44">
        <f>COUNTIF(V198:V206,"&gt;0")</f>
        <v>0</v>
      </c>
      <c r="V207" s="45">
        <f>U207+V192</f>
        <v>0</v>
      </c>
      <c r="AF207" s="34"/>
      <c r="AG207" s="34"/>
      <c r="AH207" s="34"/>
      <c r="AI207" s="34"/>
      <c r="AJ207" s="34"/>
      <c r="DN207" s="12"/>
    </row>
    <row r="208" spans="3:122" ht="11.25" customHeight="1" x14ac:dyDescent="0.2">
      <c r="C208" s="41">
        <f>(I208+K208+M208+O208+Q208+S208+U208)</f>
        <v>0</v>
      </c>
      <c r="E208" s="42">
        <f>C208/8</f>
        <v>0</v>
      </c>
      <c r="F208" s="137">
        <f>F207+H207</f>
        <v>0</v>
      </c>
      <c r="G208" s="137"/>
      <c r="H208" s="137"/>
      <c r="I208" s="46">
        <f>SUM(J198:J206)</f>
        <v>0</v>
      </c>
      <c r="J208" s="47">
        <f>I208+J193</f>
        <v>0</v>
      </c>
      <c r="K208" s="46">
        <f>SUM(L198:L206)</f>
        <v>0</v>
      </c>
      <c r="L208" s="47">
        <f>K208+L193</f>
        <v>0</v>
      </c>
      <c r="M208" s="46">
        <f>SUM(N198:N206)</f>
        <v>0</v>
      </c>
      <c r="N208" s="47">
        <f>M208+N193</f>
        <v>0</v>
      </c>
      <c r="O208" s="46">
        <f>SUM(P198:P206)</f>
        <v>0</v>
      </c>
      <c r="P208" s="47">
        <f>O208+P193</f>
        <v>0</v>
      </c>
      <c r="Q208" s="46">
        <f>SUM(R198:R206)</f>
        <v>0</v>
      </c>
      <c r="R208" s="47">
        <f>Q208+R193</f>
        <v>0</v>
      </c>
      <c r="S208" s="46">
        <f>SUM(T198:T206)</f>
        <v>0</v>
      </c>
      <c r="T208" s="47">
        <f>S208+T193</f>
        <v>0</v>
      </c>
      <c r="U208" s="46">
        <f>SUM(V198:V206)</f>
        <v>0</v>
      </c>
      <c r="V208" s="47">
        <f>U208+V193</f>
        <v>0</v>
      </c>
      <c r="AF208" s="34"/>
      <c r="AG208" s="34"/>
      <c r="AH208" s="34"/>
      <c r="AI208" s="34"/>
      <c r="AJ208" s="34"/>
      <c r="DN208" s="12"/>
    </row>
    <row r="209" spans="3:122" ht="11.25" customHeight="1" thickBot="1" x14ac:dyDescent="0.25">
      <c r="C209" s="41">
        <f>(I209+K209+M209+O209+Q209+S209+U209)</f>
        <v>0</v>
      </c>
      <c r="E209" s="42">
        <f>C209/8</f>
        <v>0</v>
      </c>
      <c r="F209" s="138">
        <f>F208+F194</f>
        <v>0</v>
      </c>
      <c r="G209" s="138"/>
      <c r="H209" s="138"/>
      <c r="I209" s="48">
        <f>I207*I208</f>
        <v>0</v>
      </c>
      <c r="J209" s="49">
        <f>I209+J194</f>
        <v>0</v>
      </c>
      <c r="K209" s="48">
        <f>K207*K208</f>
        <v>0</v>
      </c>
      <c r="L209" s="49">
        <f>K209+L194</f>
        <v>0</v>
      </c>
      <c r="M209" s="48">
        <f>M207*M208</f>
        <v>0</v>
      </c>
      <c r="N209" s="49">
        <f>M209+N194</f>
        <v>0</v>
      </c>
      <c r="O209" s="48">
        <f>O207*O208</f>
        <v>0</v>
      </c>
      <c r="P209" s="49">
        <f>O209+P194</f>
        <v>0</v>
      </c>
      <c r="Q209" s="48">
        <f>Q207*Q208</f>
        <v>0</v>
      </c>
      <c r="R209" s="49">
        <f>Q209+R194</f>
        <v>0</v>
      </c>
      <c r="S209" s="48">
        <f>S207*S208</f>
        <v>0</v>
      </c>
      <c r="T209" s="49">
        <f>S209+T194</f>
        <v>0</v>
      </c>
      <c r="U209" s="48">
        <f>U207*U208</f>
        <v>0</v>
      </c>
      <c r="V209" s="49">
        <f>U209+V194</f>
        <v>0</v>
      </c>
      <c r="AF209" s="34"/>
      <c r="AG209" s="34"/>
      <c r="AH209" s="34"/>
      <c r="AI209" s="34"/>
      <c r="AJ209" s="34"/>
      <c r="AL209" s="5">
        <f>MAX(I209,K209,M209,O209,Q209,S209,U209)</f>
        <v>0</v>
      </c>
      <c r="AM209" s="5">
        <f>MIN(I209,K209,M209,O209,Q209,S209,U209)</f>
        <v>0</v>
      </c>
      <c r="AN209" s="5"/>
      <c r="AO209" s="5"/>
      <c r="AP209" s="5"/>
      <c r="AQ209" s="5"/>
      <c r="AR209" s="5"/>
      <c r="AS209" s="13"/>
      <c r="AT209" s="5"/>
      <c r="AU209" s="5"/>
      <c r="AV209" s="5"/>
      <c r="AW209" s="5"/>
      <c r="AX209" s="5"/>
      <c r="AY209" s="5"/>
      <c r="AZ209" s="5"/>
      <c r="BA209" s="5"/>
      <c r="BB209" s="5"/>
      <c r="BD209" s="5"/>
      <c r="BE209" s="5"/>
      <c r="BF209" s="14"/>
      <c r="BG209" s="13"/>
      <c r="BH209" s="5"/>
      <c r="BI209" s="14"/>
      <c r="BJ209" s="13"/>
      <c r="BK209" s="5"/>
      <c r="BL209" s="14"/>
      <c r="BM209" s="13"/>
      <c r="BN209" s="5"/>
      <c r="BO209" s="14"/>
      <c r="BP209" s="13"/>
      <c r="BQ209" s="5"/>
      <c r="BR209" s="14"/>
      <c r="BS209" s="13"/>
      <c r="BT209" s="5"/>
      <c r="BU209" s="14"/>
      <c r="BV209" s="13"/>
      <c r="BW209" s="5"/>
      <c r="BX209" s="14"/>
      <c r="BY209" s="13"/>
      <c r="BZ209" s="5"/>
      <c r="CA209" s="14"/>
      <c r="CB209" s="13"/>
      <c r="CC209" s="5"/>
      <c r="CD209" s="14"/>
      <c r="CE209" s="13"/>
      <c r="CF209" s="5"/>
      <c r="CG209" s="14"/>
      <c r="CH209" s="13"/>
      <c r="CI209" s="5"/>
      <c r="CJ209" s="14"/>
      <c r="CK209" s="13"/>
      <c r="CL209" s="5"/>
      <c r="CM209" s="14"/>
      <c r="CN209" s="13"/>
      <c r="CO209" s="5"/>
      <c r="CP209" s="14"/>
      <c r="CQ209" s="13"/>
      <c r="CR209" s="5"/>
      <c r="CS209" s="14"/>
      <c r="CT209" s="13"/>
      <c r="CU209" s="5"/>
      <c r="CV209" s="14"/>
      <c r="CW209" s="13"/>
      <c r="CX209" s="5"/>
      <c r="CY209" s="14"/>
      <c r="CZ209" s="13"/>
      <c r="DA209" s="5"/>
      <c r="DB209" s="14"/>
      <c r="DC209" s="13"/>
      <c r="DD209" s="5"/>
      <c r="DE209" s="14"/>
      <c r="DF209" s="5"/>
      <c r="DG209" s="5"/>
      <c r="DH209" s="5"/>
      <c r="DN209" s="12"/>
    </row>
    <row r="210" spans="3:122" ht="11.25" customHeight="1" thickTop="1" x14ac:dyDescent="0.2">
      <c r="I210" s="50"/>
      <c r="J210" s="50">
        <f>L209-J209</f>
        <v>0</v>
      </c>
      <c r="K210" s="50"/>
      <c r="L210" s="50"/>
      <c r="M210" s="50"/>
      <c r="N210" s="50">
        <f>L209-N209</f>
        <v>0</v>
      </c>
      <c r="O210" s="50"/>
      <c r="P210" s="50">
        <f>L209-P209</f>
        <v>0</v>
      </c>
      <c r="Q210" s="50"/>
      <c r="R210" s="50">
        <f>L209-R209</f>
        <v>0</v>
      </c>
      <c r="S210" s="50"/>
      <c r="T210" s="50">
        <f>L209-T209</f>
        <v>0</v>
      </c>
      <c r="U210" s="50"/>
      <c r="V210" s="50">
        <f>L209-V209</f>
        <v>0</v>
      </c>
    </row>
    <row r="211" spans="3:122" ht="11.25" customHeight="1" x14ac:dyDescent="0.2">
      <c r="I211" s="139" t="str">
        <f>ß101</f>
        <v>Kropp</v>
      </c>
      <c r="J211" s="139"/>
      <c r="K211" s="139" t="str">
        <f>ß102</f>
        <v>Nörnberg</v>
      </c>
      <c r="L211" s="139"/>
      <c r="M211" s="139" t="str">
        <f>ß103</f>
        <v>Bübel</v>
      </c>
      <c r="N211" s="139"/>
      <c r="O211" s="139" t="str">
        <f>ß104</f>
        <v>Schwicht.</v>
      </c>
      <c r="P211" s="139"/>
      <c r="Q211" s="139" t="str">
        <f>ß105</f>
        <v>Rontzko.</v>
      </c>
      <c r="R211" s="139"/>
      <c r="S211" s="139" t="str">
        <f>ß106</f>
        <v>Hauschildt</v>
      </c>
      <c r="T211" s="139"/>
      <c r="U211" s="139" t="str">
        <f>ß107</f>
        <v>Zerres</v>
      </c>
      <c r="V211" s="139"/>
      <c r="AF211" s="11"/>
      <c r="AG211" s="11"/>
      <c r="AH211" s="11"/>
      <c r="AI211" s="11"/>
      <c r="AJ211" s="11"/>
      <c r="AL211" s="5" t="str">
        <f>IF($I224=$AL224,I211,"x")</f>
        <v>Kropp</v>
      </c>
      <c r="AM211" s="5" t="str">
        <f>IF($K224=$AL224,K211,"x")</f>
        <v>Nörnberg</v>
      </c>
      <c r="AN211" s="5" t="str">
        <f>IF($M224=$AL224,M211,"x")</f>
        <v>Bübel</v>
      </c>
      <c r="AO211" s="5" t="str">
        <f>IF($O224=$AL224,O211,"x")</f>
        <v>Schwicht.</v>
      </c>
      <c r="AP211" s="5" t="str">
        <f>IF($Q224=$AL224,Q211,"x")</f>
        <v>Rontzko.</v>
      </c>
      <c r="AQ211" s="5" t="str">
        <f>IF($S224=$AL224,S211,"x")</f>
        <v>Hauschildt</v>
      </c>
      <c r="AR211" s="5" t="str">
        <f>IF($U224=$AL224,U211,"x")</f>
        <v>Zerres</v>
      </c>
      <c r="AS211" s="13" t="str">
        <f>IF($I224=$AM224,I211,"x")</f>
        <v>Kropp</v>
      </c>
      <c r="AT211" s="5" t="str">
        <f>IF($K224=$AM224,K211,"x")</f>
        <v>Nörnberg</v>
      </c>
      <c r="AU211" s="5" t="str">
        <f>IF($M224=$AM224,M211,"x")</f>
        <v>Bübel</v>
      </c>
      <c r="AV211" s="5" t="str">
        <f>IF($O224=$AM224,O211,"x")</f>
        <v>Schwicht.</v>
      </c>
      <c r="AW211" s="5" t="str">
        <f>IF($Q224=$AM224,Q211,"x")</f>
        <v>Rontzko.</v>
      </c>
      <c r="AX211" s="5" t="str">
        <f>IF($S224=$AM224,S211,"x")</f>
        <v>Hauschildt</v>
      </c>
      <c r="AY211" s="5" t="str">
        <f>IF($U224=$AM224,U211,"x")</f>
        <v>Zerres</v>
      </c>
      <c r="BD211" s="140" t="str">
        <f>ß01</f>
        <v>Bayern</v>
      </c>
      <c r="BE211" s="140"/>
      <c r="BF211" s="140"/>
      <c r="BG211" s="141" t="str">
        <f>ß02</f>
        <v>Leipzig</v>
      </c>
      <c r="BH211" s="141"/>
      <c r="BI211" s="141"/>
      <c r="BJ211" s="141" t="str">
        <f>ß03</f>
        <v>Leverk.</v>
      </c>
      <c r="BK211" s="141"/>
      <c r="BL211" s="141"/>
      <c r="BM211" s="141" t="str">
        <f>ß04</f>
        <v>Hoffenheim</v>
      </c>
      <c r="BN211" s="141"/>
      <c r="BO211" s="141"/>
      <c r="BP211" s="141" t="str">
        <f>ß05</f>
        <v>Frankfurt</v>
      </c>
      <c r="BQ211" s="141"/>
      <c r="BR211" s="141"/>
      <c r="BS211" s="141" t="str">
        <f>ß06</f>
        <v>Werder</v>
      </c>
      <c r="BT211" s="141"/>
      <c r="BU211" s="141"/>
      <c r="BV211" s="141" t="str">
        <f>ß07</f>
        <v>Freiburg</v>
      </c>
      <c r="BW211" s="141"/>
      <c r="BX211" s="141"/>
      <c r="BY211" s="141" t="str">
        <f>ß08</f>
        <v>Augsburg</v>
      </c>
      <c r="BZ211" s="141"/>
      <c r="CA211" s="141"/>
      <c r="CB211" s="141" t="str">
        <f>ß09</f>
        <v>Mainz</v>
      </c>
      <c r="CC211" s="141"/>
      <c r="CD211" s="141"/>
      <c r="CE211" s="141" t="str">
        <f>ß10</f>
        <v>Köln</v>
      </c>
      <c r="CF211" s="141"/>
      <c r="CG211" s="141"/>
      <c r="CH211" s="141" t="str">
        <f>ß11</f>
        <v>M'gladb.</v>
      </c>
      <c r="CI211" s="141"/>
      <c r="CJ211" s="141"/>
      <c r="CK211" s="141" t="str">
        <f>ß12</f>
        <v>HSV</v>
      </c>
      <c r="CL211" s="141"/>
      <c r="CM211" s="141"/>
      <c r="CN211" s="141" t="str">
        <f>ß13</f>
        <v>Union</v>
      </c>
      <c r="CO211" s="141"/>
      <c r="CP211" s="141"/>
      <c r="CQ211" s="141" t="str">
        <f>ß14</f>
        <v>Stuttgart</v>
      </c>
      <c r="CR211" s="141"/>
      <c r="CS211" s="141"/>
      <c r="CT211" s="141" t="str">
        <f>ß15</f>
        <v>St. Pauli</v>
      </c>
      <c r="CU211" s="141"/>
      <c r="CV211" s="141"/>
      <c r="CW211" s="141" t="str">
        <f>ß16</f>
        <v>Dortmund</v>
      </c>
      <c r="CX211" s="141"/>
      <c r="CY211" s="141"/>
      <c r="CZ211" s="141" t="str">
        <f>ß17</f>
        <v>Heidenheim</v>
      </c>
      <c r="DA211" s="141"/>
      <c r="DB211" s="141"/>
      <c r="DC211" s="141" t="str">
        <f>ß18</f>
        <v>Wolfsburg</v>
      </c>
      <c r="DD211" s="141"/>
      <c r="DE211" s="141"/>
    </row>
    <row r="212" spans="3:122" ht="11.25" customHeight="1" x14ac:dyDescent="0.2">
      <c r="C212" s="16" t="str">
        <f>Mannschaften!F15</f>
        <v>15. Spieltag</v>
      </c>
      <c r="D212" s="11"/>
      <c r="E212" s="17" t="str">
        <f>Mannschaften!G15</f>
        <v>19.-21.12.25</v>
      </c>
      <c r="I212" s="19">
        <f>RANK(Rang!A15,Rang!A15:G15)</f>
        <v>1</v>
      </c>
      <c r="J212" s="20">
        <f>RANK(Rang!H15,Rang!H15:N15)</f>
        <v>1</v>
      </c>
      <c r="K212" s="19">
        <f>RANK(Rang!B15,Rang!A15:G15)</f>
        <v>1</v>
      </c>
      <c r="L212" s="20">
        <f>RANK(Rang!I15,Rang!H15:N15)</f>
        <v>1</v>
      </c>
      <c r="M212" s="19">
        <f>RANK(Rang!C15,Rang!A15:G15)</f>
        <v>1</v>
      </c>
      <c r="N212" s="20">
        <f>RANK(Rang!J15,Rang!H15:N15)</f>
        <v>1</v>
      </c>
      <c r="O212" s="19">
        <f>RANK(Rang!D15,Rang!A15:G15)</f>
        <v>1</v>
      </c>
      <c r="P212" s="20">
        <f>RANK(Rang!K15,Rang!H15:N15)</f>
        <v>1</v>
      </c>
      <c r="Q212" s="19">
        <f>RANK(Rang!E15,Rang!A15:G15)</f>
        <v>1</v>
      </c>
      <c r="R212" s="20">
        <f>RANK(Rang!L15,Rang!H15:N15)</f>
        <v>1</v>
      </c>
      <c r="S212" s="19">
        <f>RANK(Rang!F15,Rang!A15:G15)</f>
        <v>1</v>
      </c>
      <c r="T212" s="20">
        <f>RANK(Rang!M15,Rang!H15:N15)</f>
        <v>1</v>
      </c>
      <c r="U212" s="19">
        <f>RANK(Rang!G15,Rang!A15:G15)</f>
        <v>1</v>
      </c>
      <c r="V212" s="20">
        <f>RANK(Rang!N15,Rang!H15:N15)</f>
        <v>1</v>
      </c>
      <c r="AF212" s="22"/>
      <c r="AG212" s="22"/>
      <c r="AH212" s="22"/>
      <c r="AI212" s="22"/>
      <c r="AJ212" s="22"/>
      <c r="AK212" s="21"/>
      <c r="AL212" s="21"/>
      <c r="AM212" s="21"/>
      <c r="AN212" s="21"/>
      <c r="AO212" s="21"/>
      <c r="AP212" s="21"/>
      <c r="AQ212" s="21"/>
      <c r="AR212" s="21"/>
      <c r="AS212" s="24"/>
      <c r="AT212" s="21"/>
      <c r="AU212" s="21"/>
      <c r="AV212" s="21"/>
      <c r="AW212" s="21"/>
      <c r="AX212" s="21"/>
      <c r="AY212" s="21"/>
      <c r="AZ212" s="21"/>
      <c r="BA212" s="21"/>
      <c r="BB212" s="21"/>
      <c r="BD212" s="25" t="s">
        <v>4</v>
      </c>
      <c r="BE212" s="25" t="s">
        <v>5</v>
      </c>
      <c r="BF212" s="26" t="s">
        <v>6</v>
      </c>
      <c r="BG212" s="27" t="s">
        <v>4</v>
      </c>
      <c r="BH212" s="25" t="s">
        <v>5</v>
      </c>
      <c r="BI212" s="26" t="s">
        <v>6</v>
      </c>
      <c r="BJ212" s="27" t="s">
        <v>4</v>
      </c>
      <c r="BK212" s="25" t="s">
        <v>5</v>
      </c>
      <c r="BL212" s="26" t="s">
        <v>6</v>
      </c>
      <c r="BM212" s="27" t="s">
        <v>4</v>
      </c>
      <c r="BN212" s="25" t="s">
        <v>5</v>
      </c>
      <c r="BO212" s="26" t="s">
        <v>6</v>
      </c>
      <c r="BP212" s="27" t="s">
        <v>4</v>
      </c>
      <c r="BQ212" s="25" t="s">
        <v>5</v>
      </c>
      <c r="BR212" s="26" t="s">
        <v>6</v>
      </c>
      <c r="BS212" s="27" t="s">
        <v>4</v>
      </c>
      <c r="BT212" s="25" t="s">
        <v>5</v>
      </c>
      <c r="BU212" s="26" t="s">
        <v>6</v>
      </c>
      <c r="BV212" s="27" t="s">
        <v>4</v>
      </c>
      <c r="BW212" s="25" t="s">
        <v>5</v>
      </c>
      <c r="BX212" s="26" t="s">
        <v>6</v>
      </c>
      <c r="BY212" s="27" t="s">
        <v>4</v>
      </c>
      <c r="BZ212" s="25" t="s">
        <v>5</v>
      </c>
      <c r="CA212" s="26" t="s">
        <v>6</v>
      </c>
      <c r="CB212" s="27" t="s">
        <v>4</v>
      </c>
      <c r="CC212" s="25" t="s">
        <v>5</v>
      </c>
      <c r="CD212" s="26" t="s">
        <v>6</v>
      </c>
      <c r="CE212" s="27" t="s">
        <v>4</v>
      </c>
      <c r="CF212" s="25" t="s">
        <v>5</v>
      </c>
      <c r="CG212" s="26" t="s">
        <v>6</v>
      </c>
      <c r="CH212" s="27" t="s">
        <v>4</v>
      </c>
      <c r="CI212" s="25" t="s">
        <v>5</v>
      </c>
      <c r="CJ212" s="26" t="s">
        <v>6</v>
      </c>
      <c r="CK212" s="27" t="s">
        <v>4</v>
      </c>
      <c r="CL212" s="25" t="s">
        <v>5</v>
      </c>
      <c r="CM212" s="26" t="s">
        <v>6</v>
      </c>
      <c r="CN212" s="27" t="s">
        <v>4</v>
      </c>
      <c r="CO212" s="25" t="s">
        <v>5</v>
      </c>
      <c r="CP212" s="26" t="s">
        <v>6</v>
      </c>
      <c r="CQ212" s="27" t="s">
        <v>4</v>
      </c>
      <c r="CR212" s="25" t="s">
        <v>5</v>
      </c>
      <c r="CS212" s="26" t="s">
        <v>6</v>
      </c>
      <c r="CT212" s="27" t="s">
        <v>4</v>
      </c>
      <c r="CU212" s="25" t="s">
        <v>5</v>
      </c>
      <c r="CV212" s="26" t="s">
        <v>6</v>
      </c>
      <c r="CW212" s="27" t="s">
        <v>4</v>
      </c>
      <c r="CX212" s="25" t="s">
        <v>5</v>
      </c>
      <c r="CY212" s="26" t="s">
        <v>6</v>
      </c>
      <c r="CZ212" s="27" t="s">
        <v>4</v>
      </c>
      <c r="DA212" s="25" t="s">
        <v>5</v>
      </c>
      <c r="DB212" s="26" t="s">
        <v>6</v>
      </c>
      <c r="DC212" s="27" t="s">
        <v>4</v>
      </c>
      <c r="DD212" s="25" t="s">
        <v>5</v>
      </c>
      <c r="DE212" s="26" t="s">
        <v>6</v>
      </c>
      <c r="DF212" s="21"/>
      <c r="DG212" s="21"/>
      <c r="DH212" s="21"/>
      <c r="DN212" s="136" t="s">
        <v>7</v>
      </c>
      <c r="DO212" s="136"/>
      <c r="DP212" s="136" t="s">
        <v>8</v>
      </c>
      <c r="DQ212" s="136"/>
      <c r="DR212" s="28"/>
    </row>
    <row r="213" spans="3:122" ht="11.25" customHeight="1" x14ac:dyDescent="0.2">
      <c r="C213" s="2" t="str">
        <f>ß16</f>
        <v>Dortmund</v>
      </c>
      <c r="D213" s="3" t="s">
        <v>11</v>
      </c>
      <c r="E213" s="2" t="str">
        <f>ß11</f>
        <v>M'gladb.</v>
      </c>
      <c r="F213" s="29"/>
      <c r="G213" s="3" t="s">
        <v>12</v>
      </c>
      <c r="H213" s="30"/>
      <c r="I213" s="31"/>
      <c r="J213" s="32" t="str">
        <f t="shared" ref="J213:J221" si="201">IF($F213="","",(IF(I213="","",IF(I213=$DG213,(VLOOKUP($DH213,$DJ$3:$DK$11,2,FALSE())),0))))</f>
        <v/>
      </c>
      <c r="K213" s="31"/>
      <c r="L213" s="32" t="str">
        <f t="shared" ref="L213:L221" si="202">IF($F213="","",(IF(K213="","",IF(K213=$DG213,(VLOOKUP($DH213,$DJ$3:$DK$11,2,FALSE())),0))))</f>
        <v/>
      </c>
      <c r="M213" s="31"/>
      <c r="N213" s="32" t="str">
        <f t="shared" ref="N213:N221" si="203">IF($F213="","",(IF(M213="","",IF(M213=$DG213,(VLOOKUP($DH213,$DJ$3:$DK$11,2,FALSE())),0))))</f>
        <v/>
      </c>
      <c r="O213" s="31"/>
      <c r="P213" s="32" t="str">
        <f t="shared" ref="P213:P221" si="204">IF($F213="","",(IF(O213="","",IF(O213=$DG213,(VLOOKUP($DH213,$DJ$3:$DK$11,2,FALSE())),0))))</f>
        <v/>
      </c>
      <c r="Q213" s="31"/>
      <c r="R213" s="32" t="str">
        <f t="shared" ref="R213:R221" si="205">IF($F213="","",(IF(Q213="","",IF(Q213=$DG213,(VLOOKUP($DH213,$DJ$3:$DK$11,2,FALSE())),0))))</f>
        <v/>
      </c>
      <c r="S213" s="31"/>
      <c r="T213" s="32" t="str">
        <f t="shared" ref="T213:T221" si="206">IF($F213="","",(IF(S213="","",IF(S213=$DG213,(VLOOKUP($DH213,$DJ$3:$DK$11,2,FALSE())),0))))</f>
        <v/>
      </c>
      <c r="U213" s="31"/>
      <c r="V213" s="32" t="str">
        <f t="shared" ref="V213:V221" si="207">IF($F213="","",(IF(U213="","",IF(U213=$DG213,(VLOOKUP($DH213,$DJ$3:$DK$11,2,FALSE())),0))))</f>
        <v/>
      </c>
      <c r="AF213" s="34"/>
      <c r="AG213" s="34"/>
      <c r="AH213" s="34"/>
      <c r="AI213" s="34"/>
      <c r="AJ213" s="34"/>
      <c r="AN213" s="5"/>
      <c r="AO213" s="5"/>
      <c r="AP213" s="5"/>
      <c r="AQ213" s="5"/>
      <c r="AR213" s="5"/>
      <c r="AS213" s="13"/>
      <c r="AT213" s="5"/>
      <c r="AU213" s="5"/>
      <c r="AV213" s="5"/>
      <c r="AW213" s="5"/>
      <c r="AX213" s="5"/>
      <c r="AY213" s="5"/>
      <c r="BC213" s="6">
        <v>212</v>
      </c>
      <c r="BD213" s="35" t="str">
        <f>IF(ISERROR(MATCH(ß01,$C213:$C221,0)),"",MATCH(ß01,$C213:$C221,0))</f>
        <v/>
      </c>
      <c r="BE213" s="35">
        <f>IF(ISERROR(MATCH(ß01,$E213:$E221,0)),"",MATCH(ß01,$E213:$E221,0))</f>
        <v>7</v>
      </c>
      <c r="BF213" s="15">
        <f>SUM(BD213:BE213)+BC213</f>
        <v>219</v>
      </c>
      <c r="BG213" s="36">
        <f>IF(ISERROR(MATCH(ß02,$C213:$C221,0)),"",MATCH(ß02,$C213:$C221,0))</f>
        <v>3</v>
      </c>
      <c r="BH213" s="35" t="str">
        <f>IF(ISERROR(MATCH(ß02,$E213:$E221,0)),"",MATCH(ß02,$E213:$E221,0))</f>
        <v/>
      </c>
      <c r="BI213" s="15">
        <f>SUM(BG213:BH213)+BC213</f>
        <v>215</v>
      </c>
      <c r="BJ213" s="36" t="str">
        <f>IF(ISERROR(MATCH(ß03,$C213:$C221,0)),"",MATCH(ß03,$C213:$C221,0))</f>
        <v/>
      </c>
      <c r="BK213" s="35">
        <f>IF(ISERROR(MATCH(ß03,$E213:$E221,0)),"",MATCH(ß03,$E213:$E221,0))</f>
        <v>3</v>
      </c>
      <c r="BL213" s="15">
        <f>SUM(BJ213:BK213)+BC213</f>
        <v>215</v>
      </c>
      <c r="BM213" s="36" t="str">
        <f>IF(ISERROR(MATCH(ß04,$C213:$C221,0)),"",MATCH(ß04,$C213:$C221,0))</f>
        <v/>
      </c>
      <c r="BN213" s="35">
        <f>IF(ISERROR(MATCH(ß04,$E213:$E221,0)),"",MATCH(ß04,$E213:$E221,0))</f>
        <v>4</v>
      </c>
      <c r="BO213" s="15">
        <f>SUM(BM213:BN213)+BC213</f>
        <v>216</v>
      </c>
      <c r="BP213" s="36" t="str">
        <f>IF(ISERROR(MATCH(ß05,$C213:$C221,0)),"",MATCH(ß05,$C213:$C221,0))</f>
        <v/>
      </c>
      <c r="BQ213" s="35">
        <f>IF(ISERROR(MATCH(ß05,$E213:$E221,0)),"",MATCH(ß05,$E213:$E221,0))</f>
        <v>9</v>
      </c>
      <c r="BR213" s="15">
        <f>SUM(BP213:BQ213)+BC213</f>
        <v>221</v>
      </c>
      <c r="BS213" s="36" t="str">
        <f>IF(ISERROR(MATCH(ß06,$C213:$C221,0)),"",MATCH(ß06,$C213:$C221,0))</f>
        <v/>
      </c>
      <c r="BT213" s="35">
        <f>IF(ISERROR(MATCH(ß06,$E213:$E221,0)),"",MATCH(ß06,$E213:$E221,0))</f>
        <v>6</v>
      </c>
      <c r="BU213" s="15">
        <f>SUM(BS213:BT213)+BC213</f>
        <v>218</v>
      </c>
      <c r="BV213" s="36" t="str">
        <f>IF(ISERROR(MATCH(ß07,$C213:$C221,0)),"",MATCH(ß07,$C213:$C221,0))</f>
        <v/>
      </c>
      <c r="BW213" s="35">
        <f>IF(ISERROR(MATCH(ß07,$E213:$E221,0)),"",MATCH(ß07,$E213:$E221,0))</f>
        <v>5</v>
      </c>
      <c r="BX213" s="15">
        <f>SUM(BV213:BW213)+BC213</f>
        <v>217</v>
      </c>
      <c r="BY213" s="36">
        <f>IF(ISERROR(MATCH(ß08,$C213:$C221,0)),"",MATCH(ß08,$C213:$C221,0))</f>
        <v>6</v>
      </c>
      <c r="BZ213" s="35" t="str">
        <f>IF(ISERROR(MATCH(ß08,$E213:$E221,0)),"",MATCH(ß08,$E213:$E221,0))</f>
        <v/>
      </c>
      <c r="CA213" s="15">
        <f>SUM(BY213:BZ213)+BC213</f>
        <v>218</v>
      </c>
      <c r="CB213" s="36">
        <f>IF(ISERROR(MATCH(ß09,$C213:$C221,0)),"",MATCH(ß09,$C213:$C221,0))</f>
        <v>2</v>
      </c>
      <c r="CC213" s="35" t="str">
        <f>IF(ISERROR(MATCH(ß09,$E213:$E221,0)),"",MATCH(ß09,$E213:$E221,0))</f>
        <v/>
      </c>
      <c r="CD213" s="15">
        <f>SUM(CB213:CC213)+BC213</f>
        <v>214</v>
      </c>
      <c r="CE213" s="36">
        <f>IF(ISERROR(MATCH(ß10,$C213:$C221,0)),"",MATCH(ß10,$C213:$C221,0))</f>
        <v>8</v>
      </c>
      <c r="CF213" s="35" t="str">
        <f>IF(ISERROR(MATCH(ß10,$E213:$E221,0)),"",MATCH(ß10,$E213:$E221,0))</f>
        <v/>
      </c>
      <c r="CG213" s="15">
        <f>SUM(CE213:CF213)+BC213</f>
        <v>220</v>
      </c>
      <c r="CH213" s="36" t="str">
        <f>IF(ISERROR(MATCH(ß11,$C213:$C221,0)),"",MATCH(ß11,$C213:$C221,0))</f>
        <v/>
      </c>
      <c r="CI213" s="35">
        <f>IF(ISERROR(MATCH(ß11,$E213:$E221,0)),"",MATCH(ß11,$E213:$E221,0))</f>
        <v>1</v>
      </c>
      <c r="CJ213" s="15">
        <f>SUM(CH213:CI213)+BC213</f>
        <v>213</v>
      </c>
      <c r="CK213" s="36">
        <f>IF(ISERROR(MATCH(ß12,$C213:$C221,0)),"",MATCH(ß12,$C213:$C221,0))</f>
        <v>9</v>
      </c>
      <c r="CL213" s="35" t="str">
        <f>IF(ISERROR(MATCH(ß12,$E213:$E221,0)),"",MATCH(ß12,$E213:$E221,0))</f>
        <v/>
      </c>
      <c r="CM213" s="15">
        <f>SUM(CK213:CL213)+BC213</f>
        <v>221</v>
      </c>
      <c r="CN213" s="36" t="str">
        <f>IF(ISERROR(MATCH(ß13,$C213:$C221,0)),"",MATCH(ß13,$C213:$C221,0))</f>
        <v/>
      </c>
      <c r="CO213" s="35">
        <f>IF(ISERROR(MATCH(ß13,$E213:$E221,0)),"",MATCH(ß13,$E213:$E221,0))</f>
        <v>8</v>
      </c>
      <c r="CP213" s="15">
        <f>SUM(CN213:CO213)+BC213</f>
        <v>220</v>
      </c>
      <c r="CQ213" s="36">
        <f>IF(ISERROR(MATCH(ß14,$C213:$C221,0)),"",MATCH(ß14,$C213:$C221,0))</f>
        <v>4</v>
      </c>
      <c r="CR213" s="35" t="str">
        <f>IF(ISERROR(MATCH(ß14,$E213:$E221,0)),"",MATCH(ß14,$E213:$E221,0))</f>
        <v/>
      </c>
      <c r="CS213" s="15">
        <f>SUM(CQ213:CR213)+BC213</f>
        <v>216</v>
      </c>
      <c r="CT213" s="36" t="str">
        <f>IF(ISERROR(MATCH(ß15,$C213:$C221,0)),"",MATCH(ß15,$C213:$C221,0))</f>
        <v/>
      </c>
      <c r="CU213" s="35">
        <f>IF(ISERROR(MATCH(ß15,$E213:$E221,0)),"",MATCH(ß15,$E213:$E221,0))</f>
        <v>2</v>
      </c>
      <c r="CV213" s="15">
        <f>SUM(CT213:CU213)+BC213</f>
        <v>214</v>
      </c>
      <c r="CW213" s="36">
        <f>IF(ISERROR(MATCH(ß16,$C213:$C221,0)),"",MATCH(ß16,$C213:$C221,0))</f>
        <v>1</v>
      </c>
      <c r="CX213" s="35" t="str">
        <f>IF(ISERROR(MATCH(ß16,$E213:$E221,0)),"",MATCH(ß16,$E213:$E221,0))</f>
        <v/>
      </c>
      <c r="CY213" s="15">
        <f>SUM(CW213:CX213)+BC213</f>
        <v>213</v>
      </c>
      <c r="CZ213" s="36">
        <f>IF(ISERROR(MATCH(ß17,$C213:$C221,0)),"",MATCH(ß17,$C213:$C221,0))</f>
        <v>7</v>
      </c>
      <c r="DA213" s="35" t="str">
        <f>IF(ISERROR(MATCH(ß17,$E213:$E221,0)),"",MATCH(ß17,$E213:$E221,0))</f>
        <v/>
      </c>
      <c r="DB213" s="15">
        <f>SUM(CZ213:DA213)+BC213</f>
        <v>219</v>
      </c>
      <c r="DC213" s="36">
        <f>IF(ISERROR(MATCH(ß18,$C213:$C221,0)),"",MATCH(ß18,$C213:$C221,0))</f>
        <v>5</v>
      </c>
      <c r="DD213" s="35" t="str">
        <f>IF(ISERROR(MATCH(ß18,$E213:$E221,0)),"",MATCH(ß18,$E213:$E221,0))</f>
        <v/>
      </c>
      <c r="DE213" s="15">
        <f>SUM(DC213:DD213)+BC213</f>
        <v>217</v>
      </c>
      <c r="DG213" s="8" t="str">
        <f t="shared" ref="DG213:DG221" si="208">IF(F213="","",(IF(F213=H213,0,IF(F213&gt;H213,1,IF(F213&lt;H213,2)))))</f>
        <v/>
      </c>
      <c r="DH213" s="3">
        <f>COUNTIF(I213,DG213)+COUNTIF(K213,DG213)+COUNTIF(M213,DG213)+COUNTIF(O213,DG213)+COUNTIF(Q213,DG213)+COUNTIF(S213,DG213)+COUNTIF(U213,DG213)</f>
        <v>7</v>
      </c>
      <c r="DN213" s="12">
        <f t="shared" ref="DN213:DN221" si="209">F213</f>
        <v>0</v>
      </c>
      <c r="DO213" s="5">
        <f t="shared" ref="DO213:DO221" si="210">H213</f>
        <v>0</v>
      </c>
      <c r="DP213" s="5" t="str">
        <f t="shared" ref="DP213:DP221" si="211">IF($F213="","",IF(DN213&gt;DO213,3,IF(DN213&lt;DO213,0,1)))</f>
        <v/>
      </c>
      <c r="DQ213" s="5" t="str">
        <f t="shared" ref="DQ213:DQ221" si="212">IF($H213="","",IF(DO213&gt;DN213,3,IF(DO213&lt;DN213,0,1)))</f>
        <v/>
      </c>
      <c r="DR213" s="5">
        <f t="shared" ref="DR213:DR221" si="213">IF(ISBLANK(F213),0,1)</f>
        <v>0</v>
      </c>
    </row>
    <row r="214" spans="3:122" ht="11.25" customHeight="1" x14ac:dyDescent="0.2">
      <c r="C214" s="2" t="str">
        <f>ß09</f>
        <v>Mainz</v>
      </c>
      <c r="D214" s="3" t="s">
        <v>11</v>
      </c>
      <c r="E214" s="2" t="str">
        <f>ß15</f>
        <v>St. Pauli</v>
      </c>
      <c r="F214" s="29"/>
      <c r="G214" s="3" t="s">
        <v>12</v>
      </c>
      <c r="H214" s="30"/>
      <c r="I214" s="37"/>
      <c r="J214" s="38" t="str">
        <f t="shared" si="201"/>
        <v/>
      </c>
      <c r="K214" s="37"/>
      <c r="L214" s="38" t="str">
        <f t="shared" si="202"/>
        <v/>
      </c>
      <c r="M214" s="37"/>
      <c r="N214" s="38" t="str">
        <f t="shared" si="203"/>
        <v/>
      </c>
      <c r="O214" s="37"/>
      <c r="P214" s="38" t="str">
        <f t="shared" si="204"/>
        <v/>
      </c>
      <c r="Q214" s="37"/>
      <c r="R214" s="38" t="str">
        <f t="shared" si="205"/>
        <v/>
      </c>
      <c r="S214" s="37"/>
      <c r="T214" s="38" t="str">
        <f t="shared" si="206"/>
        <v/>
      </c>
      <c r="U214" s="37"/>
      <c r="V214" s="38" t="str">
        <f t="shared" si="207"/>
        <v/>
      </c>
      <c r="AF214" s="34"/>
      <c r="AG214" s="34"/>
      <c r="AH214" s="34"/>
      <c r="AI214" s="34"/>
      <c r="AJ214" s="34"/>
      <c r="DG214" s="8" t="str">
        <f t="shared" si="208"/>
        <v/>
      </c>
      <c r="DH214" s="3">
        <f t="shared" ref="DH214:DH221" si="214">COUNTIF(I214,DG214)+COUNTIF(K214,DG214)+COUNTIF(M214,DG214)+COUNTIF(O214,DG214)+COUNTIF(Q214,DG214)+COUNTIF(S214,DG214)+COUNTIF(U214,DG214)</f>
        <v>7</v>
      </c>
      <c r="DN214" s="12">
        <f t="shared" si="209"/>
        <v>0</v>
      </c>
      <c r="DO214" s="5">
        <f t="shared" si="210"/>
        <v>0</v>
      </c>
      <c r="DP214" s="5" t="str">
        <f t="shared" si="211"/>
        <v/>
      </c>
      <c r="DQ214" s="5" t="str">
        <f t="shared" si="212"/>
        <v/>
      </c>
      <c r="DR214" s="5">
        <f t="shared" si="213"/>
        <v>0</v>
      </c>
    </row>
    <row r="215" spans="3:122" ht="11.25" customHeight="1" x14ac:dyDescent="0.2">
      <c r="C215" s="2" t="str">
        <f>ß02</f>
        <v>Leipzig</v>
      </c>
      <c r="D215" s="3" t="s">
        <v>11</v>
      </c>
      <c r="E215" s="2" t="str">
        <f>ß03</f>
        <v>Leverk.</v>
      </c>
      <c r="F215" s="29"/>
      <c r="G215" s="3" t="s">
        <v>12</v>
      </c>
      <c r="H215" s="30"/>
      <c r="I215" s="37"/>
      <c r="J215" s="38" t="str">
        <f t="shared" si="201"/>
        <v/>
      </c>
      <c r="K215" s="37"/>
      <c r="L215" s="38" t="str">
        <f t="shared" si="202"/>
        <v/>
      </c>
      <c r="M215" s="37"/>
      <c r="N215" s="38" t="str">
        <f t="shared" si="203"/>
        <v/>
      </c>
      <c r="O215" s="37"/>
      <c r="P215" s="38" t="str">
        <f t="shared" si="204"/>
        <v/>
      </c>
      <c r="Q215" s="37"/>
      <c r="R215" s="38" t="str">
        <f t="shared" si="205"/>
        <v/>
      </c>
      <c r="S215" s="37"/>
      <c r="T215" s="38" t="str">
        <f t="shared" si="206"/>
        <v/>
      </c>
      <c r="U215" s="37"/>
      <c r="V215" s="38" t="str">
        <f t="shared" si="207"/>
        <v/>
      </c>
      <c r="AF215" s="34"/>
      <c r="AG215" s="34"/>
      <c r="AH215" s="34"/>
      <c r="AI215" s="34"/>
      <c r="AJ215" s="34"/>
      <c r="DG215" s="8" t="str">
        <f t="shared" si="208"/>
        <v/>
      </c>
      <c r="DH215" s="3">
        <f t="shared" si="214"/>
        <v>7</v>
      </c>
      <c r="DN215" s="12">
        <f t="shared" si="209"/>
        <v>0</v>
      </c>
      <c r="DO215" s="5">
        <f t="shared" si="210"/>
        <v>0</v>
      </c>
      <c r="DP215" s="5" t="str">
        <f t="shared" si="211"/>
        <v/>
      </c>
      <c r="DQ215" s="5" t="str">
        <f t="shared" si="212"/>
        <v/>
      </c>
      <c r="DR215" s="5">
        <f t="shared" si="213"/>
        <v>0</v>
      </c>
    </row>
    <row r="216" spans="3:122" ht="11.25" customHeight="1" x14ac:dyDescent="0.2">
      <c r="C216" s="2" t="str">
        <f>ß14</f>
        <v>Stuttgart</v>
      </c>
      <c r="D216" s="3" t="s">
        <v>11</v>
      </c>
      <c r="E216" s="2" t="str">
        <f>ß04</f>
        <v>Hoffenheim</v>
      </c>
      <c r="F216" s="29"/>
      <c r="G216" s="3" t="s">
        <v>12</v>
      </c>
      <c r="H216" s="30"/>
      <c r="I216" s="37"/>
      <c r="J216" s="38" t="str">
        <f t="shared" si="201"/>
        <v/>
      </c>
      <c r="K216" s="37"/>
      <c r="L216" s="38" t="str">
        <f t="shared" si="202"/>
        <v/>
      </c>
      <c r="M216" s="37"/>
      <c r="N216" s="38" t="str">
        <f t="shared" si="203"/>
        <v/>
      </c>
      <c r="O216" s="37"/>
      <c r="P216" s="38" t="str">
        <f t="shared" si="204"/>
        <v/>
      </c>
      <c r="Q216" s="37"/>
      <c r="R216" s="38" t="str">
        <f t="shared" si="205"/>
        <v/>
      </c>
      <c r="S216" s="37"/>
      <c r="T216" s="38" t="str">
        <f t="shared" si="206"/>
        <v/>
      </c>
      <c r="U216" s="37"/>
      <c r="V216" s="38" t="str">
        <f t="shared" si="207"/>
        <v/>
      </c>
      <c r="AF216" s="34"/>
      <c r="AG216" s="34"/>
      <c r="AH216" s="34"/>
      <c r="AI216" s="34"/>
      <c r="AJ216" s="34"/>
      <c r="DG216" s="8" t="str">
        <f t="shared" si="208"/>
        <v/>
      </c>
      <c r="DH216" s="3">
        <f t="shared" si="214"/>
        <v>7</v>
      </c>
      <c r="DN216" s="12">
        <f t="shared" si="209"/>
        <v>0</v>
      </c>
      <c r="DO216" s="5">
        <f t="shared" si="210"/>
        <v>0</v>
      </c>
      <c r="DP216" s="5" t="str">
        <f t="shared" si="211"/>
        <v/>
      </c>
      <c r="DQ216" s="5" t="str">
        <f t="shared" si="212"/>
        <v/>
      </c>
      <c r="DR216" s="5">
        <f t="shared" si="213"/>
        <v>0</v>
      </c>
    </row>
    <row r="217" spans="3:122" ht="11.25" customHeight="1" x14ac:dyDescent="0.2">
      <c r="C217" s="2" t="str">
        <f>ß18</f>
        <v>Wolfsburg</v>
      </c>
      <c r="D217" s="3" t="s">
        <v>11</v>
      </c>
      <c r="E217" s="2" t="str">
        <f>ß07</f>
        <v>Freiburg</v>
      </c>
      <c r="F217" s="29"/>
      <c r="G217" s="3" t="s">
        <v>12</v>
      </c>
      <c r="H217" s="30"/>
      <c r="I217" s="37"/>
      <c r="J217" s="38" t="str">
        <f t="shared" si="201"/>
        <v/>
      </c>
      <c r="K217" s="37"/>
      <c r="L217" s="38" t="str">
        <f t="shared" si="202"/>
        <v/>
      </c>
      <c r="M217" s="37"/>
      <c r="N217" s="38" t="str">
        <f t="shared" si="203"/>
        <v/>
      </c>
      <c r="O217" s="37"/>
      <c r="P217" s="38" t="str">
        <f t="shared" si="204"/>
        <v/>
      </c>
      <c r="Q217" s="37"/>
      <c r="R217" s="38" t="str">
        <f t="shared" si="205"/>
        <v/>
      </c>
      <c r="S217" s="37"/>
      <c r="T217" s="38" t="str">
        <f t="shared" si="206"/>
        <v/>
      </c>
      <c r="U217" s="37"/>
      <c r="V217" s="38" t="str">
        <f t="shared" si="207"/>
        <v/>
      </c>
      <c r="AF217" s="34"/>
      <c r="AG217" s="34"/>
      <c r="AH217" s="34"/>
      <c r="AI217" s="34"/>
      <c r="AJ217" s="34"/>
      <c r="DG217" s="8" t="str">
        <f t="shared" si="208"/>
        <v/>
      </c>
      <c r="DH217" s="3">
        <f t="shared" si="214"/>
        <v>7</v>
      </c>
      <c r="DN217" s="12">
        <f t="shared" si="209"/>
        <v>0</v>
      </c>
      <c r="DO217" s="5">
        <f t="shared" si="210"/>
        <v>0</v>
      </c>
      <c r="DP217" s="5" t="str">
        <f t="shared" si="211"/>
        <v/>
      </c>
      <c r="DQ217" s="5" t="str">
        <f t="shared" si="212"/>
        <v/>
      </c>
      <c r="DR217" s="5">
        <f t="shared" si="213"/>
        <v>0</v>
      </c>
    </row>
    <row r="218" spans="3:122" ht="11.25" customHeight="1" x14ac:dyDescent="0.2">
      <c r="C218" s="2" t="str">
        <f>ß08</f>
        <v>Augsburg</v>
      </c>
      <c r="D218" s="3" t="s">
        <v>11</v>
      </c>
      <c r="E218" s="2" t="str">
        <f>ß06</f>
        <v>Werder</v>
      </c>
      <c r="F218" s="29"/>
      <c r="G218" s="3" t="s">
        <v>12</v>
      </c>
      <c r="H218" s="30"/>
      <c r="I218" s="37"/>
      <c r="J218" s="38" t="str">
        <f t="shared" si="201"/>
        <v/>
      </c>
      <c r="K218" s="37"/>
      <c r="L218" s="38" t="str">
        <f t="shared" si="202"/>
        <v/>
      </c>
      <c r="M218" s="37"/>
      <c r="N218" s="38" t="str">
        <f t="shared" si="203"/>
        <v/>
      </c>
      <c r="O218" s="37"/>
      <c r="P218" s="38" t="str">
        <f t="shared" si="204"/>
        <v/>
      </c>
      <c r="Q218" s="37"/>
      <c r="R218" s="38" t="str">
        <f t="shared" si="205"/>
        <v/>
      </c>
      <c r="S218" s="37"/>
      <c r="T218" s="38" t="str">
        <f t="shared" si="206"/>
        <v/>
      </c>
      <c r="U218" s="37"/>
      <c r="V218" s="38" t="str">
        <f t="shared" si="207"/>
        <v/>
      </c>
      <c r="AF218" s="34"/>
      <c r="AG218" s="34"/>
      <c r="AH218" s="34"/>
      <c r="AI218" s="34"/>
      <c r="AJ218" s="34"/>
      <c r="DG218" s="8" t="str">
        <f t="shared" si="208"/>
        <v/>
      </c>
      <c r="DH218" s="3">
        <f t="shared" si="214"/>
        <v>7</v>
      </c>
      <c r="DN218" s="12">
        <f t="shared" si="209"/>
        <v>0</v>
      </c>
      <c r="DO218" s="5">
        <f t="shared" si="210"/>
        <v>0</v>
      </c>
      <c r="DP218" s="5" t="str">
        <f t="shared" si="211"/>
        <v/>
      </c>
      <c r="DQ218" s="5" t="str">
        <f t="shared" si="212"/>
        <v/>
      </c>
      <c r="DR218" s="5">
        <f t="shared" si="213"/>
        <v>0</v>
      </c>
    </row>
    <row r="219" spans="3:122" ht="11.25" customHeight="1" x14ac:dyDescent="0.2">
      <c r="C219" s="2" t="str">
        <f>ß17</f>
        <v>Heidenheim</v>
      </c>
      <c r="D219" s="3" t="s">
        <v>11</v>
      </c>
      <c r="E219" s="2" t="str">
        <f>ß01</f>
        <v>Bayern</v>
      </c>
      <c r="F219" s="29"/>
      <c r="G219" s="3" t="s">
        <v>12</v>
      </c>
      <c r="H219" s="30"/>
      <c r="I219" s="37"/>
      <c r="J219" s="38" t="str">
        <f t="shared" si="201"/>
        <v/>
      </c>
      <c r="K219" s="37"/>
      <c r="L219" s="38" t="str">
        <f t="shared" si="202"/>
        <v/>
      </c>
      <c r="M219" s="37"/>
      <c r="N219" s="38" t="str">
        <f t="shared" si="203"/>
        <v/>
      </c>
      <c r="O219" s="37"/>
      <c r="P219" s="38" t="str">
        <f t="shared" si="204"/>
        <v/>
      </c>
      <c r="Q219" s="37"/>
      <c r="R219" s="38" t="str">
        <f t="shared" si="205"/>
        <v/>
      </c>
      <c r="S219" s="37"/>
      <c r="T219" s="38" t="str">
        <f t="shared" si="206"/>
        <v/>
      </c>
      <c r="U219" s="37"/>
      <c r="V219" s="38" t="str">
        <f t="shared" si="207"/>
        <v/>
      </c>
      <c r="AF219" s="34"/>
      <c r="AG219" s="34"/>
      <c r="AH219" s="34"/>
      <c r="AI219" s="34"/>
      <c r="AJ219" s="34"/>
      <c r="DG219" s="8" t="str">
        <f t="shared" si="208"/>
        <v/>
      </c>
      <c r="DH219" s="3">
        <f t="shared" si="214"/>
        <v>7</v>
      </c>
      <c r="DN219" s="12">
        <f t="shared" si="209"/>
        <v>0</v>
      </c>
      <c r="DO219" s="5">
        <f t="shared" si="210"/>
        <v>0</v>
      </c>
      <c r="DP219" s="5" t="str">
        <f t="shared" si="211"/>
        <v/>
      </c>
      <c r="DQ219" s="5" t="str">
        <f t="shared" si="212"/>
        <v/>
      </c>
      <c r="DR219" s="5">
        <f t="shared" si="213"/>
        <v>0</v>
      </c>
    </row>
    <row r="220" spans="3:122" ht="11.25" customHeight="1" x14ac:dyDescent="0.2">
      <c r="C220" s="2" t="str">
        <f>ß10</f>
        <v>Köln</v>
      </c>
      <c r="D220" s="3" t="s">
        <v>11</v>
      </c>
      <c r="E220" s="2" t="str">
        <f>ß13</f>
        <v>Union</v>
      </c>
      <c r="F220" s="29"/>
      <c r="G220" s="3" t="s">
        <v>12</v>
      </c>
      <c r="H220" s="30"/>
      <c r="I220" s="37"/>
      <c r="J220" s="38" t="str">
        <f t="shared" si="201"/>
        <v/>
      </c>
      <c r="K220" s="37"/>
      <c r="L220" s="38" t="str">
        <f t="shared" si="202"/>
        <v/>
      </c>
      <c r="M220" s="37"/>
      <c r="N220" s="38" t="str">
        <f t="shared" si="203"/>
        <v/>
      </c>
      <c r="O220" s="37"/>
      <c r="P220" s="38" t="str">
        <f t="shared" si="204"/>
        <v/>
      </c>
      <c r="Q220" s="37"/>
      <c r="R220" s="38" t="str">
        <f t="shared" si="205"/>
        <v/>
      </c>
      <c r="S220" s="37"/>
      <c r="T220" s="38" t="str">
        <f t="shared" si="206"/>
        <v/>
      </c>
      <c r="U220" s="37"/>
      <c r="V220" s="38" t="str">
        <f t="shared" si="207"/>
        <v/>
      </c>
      <c r="AF220" s="34"/>
      <c r="AG220" s="34"/>
      <c r="AH220" s="34"/>
      <c r="AI220" s="34"/>
      <c r="AJ220" s="34"/>
      <c r="DG220" s="8" t="str">
        <f t="shared" si="208"/>
        <v/>
      </c>
      <c r="DH220" s="3">
        <f t="shared" si="214"/>
        <v>7</v>
      </c>
      <c r="DN220" s="12">
        <f t="shared" si="209"/>
        <v>0</v>
      </c>
      <c r="DO220" s="5">
        <f t="shared" si="210"/>
        <v>0</v>
      </c>
      <c r="DP220" s="5" t="str">
        <f t="shared" si="211"/>
        <v/>
      </c>
      <c r="DQ220" s="5" t="str">
        <f t="shared" si="212"/>
        <v/>
      </c>
      <c r="DR220" s="5">
        <f t="shared" si="213"/>
        <v>0</v>
      </c>
    </row>
    <row r="221" spans="3:122" ht="11.25" customHeight="1" thickBot="1" x14ac:dyDescent="0.25">
      <c r="C221" s="2" t="str">
        <f>ß12</f>
        <v>HSV</v>
      </c>
      <c r="D221" s="3" t="s">
        <v>11</v>
      </c>
      <c r="E221" s="2" t="str">
        <f>ß05</f>
        <v>Frankfurt</v>
      </c>
      <c r="F221" s="29"/>
      <c r="G221" s="3" t="s">
        <v>12</v>
      </c>
      <c r="H221" s="30"/>
      <c r="I221" s="37"/>
      <c r="J221" s="38" t="str">
        <f t="shared" si="201"/>
        <v/>
      </c>
      <c r="K221" s="37"/>
      <c r="L221" s="38" t="str">
        <f t="shared" si="202"/>
        <v/>
      </c>
      <c r="M221" s="37"/>
      <c r="N221" s="38" t="str">
        <f t="shared" si="203"/>
        <v/>
      </c>
      <c r="O221" s="37"/>
      <c r="P221" s="38" t="str">
        <f t="shared" si="204"/>
        <v/>
      </c>
      <c r="Q221" s="37"/>
      <c r="R221" s="38" t="str">
        <f t="shared" si="205"/>
        <v/>
      </c>
      <c r="S221" s="37"/>
      <c r="T221" s="38" t="str">
        <f t="shared" si="206"/>
        <v/>
      </c>
      <c r="U221" s="37"/>
      <c r="V221" s="38" t="str">
        <f t="shared" si="207"/>
        <v/>
      </c>
      <c r="AF221" s="34"/>
      <c r="AG221" s="34"/>
      <c r="AH221" s="34"/>
      <c r="AI221" s="34"/>
      <c r="AJ221" s="34"/>
      <c r="DG221" s="8" t="str">
        <f t="shared" si="208"/>
        <v/>
      </c>
      <c r="DH221" s="3">
        <f t="shared" si="214"/>
        <v>7</v>
      </c>
      <c r="DN221" s="12">
        <f t="shared" si="209"/>
        <v>0</v>
      </c>
      <c r="DO221" s="5">
        <f t="shared" si="210"/>
        <v>0</v>
      </c>
      <c r="DP221" s="5" t="str">
        <f t="shared" si="211"/>
        <v/>
      </c>
      <c r="DQ221" s="5" t="str">
        <f t="shared" si="212"/>
        <v/>
      </c>
      <c r="DR221" s="5">
        <f t="shared" si="213"/>
        <v>0</v>
      </c>
    </row>
    <row r="222" spans="3:122" ht="11.25" customHeight="1" thickTop="1" x14ac:dyDescent="0.2">
      <c r="C222" s="41">
        <f>(I222+K222+M222+O222+Q222+S222+U222)</f>
        <v>0</v>
      </c>
      <c r="E222" s="42">
        <f>C222/8</f>
        <v>0</v>
      </c>
      <c r="F222" s="41">
        <f>SUM(F213:F221)</f>
        <v>0</v>
      </c>
      <c r="G222" s="2"/>
      <c r="H222" s="43">
        <f>SUM(H213:H221)</f>
        <v>0</v>
      </c>
      <c r="I222" s="44">
        <f>COUNTIF(J213:J221,"&gt;0")</f>
        <v>0</v>
      </c>
      <c r="J222" s="45">
        <f>I222+J207</f>
        <v>0</v>
      </c>
      <c r="K222" s="44">
        <f>COUNTIF(L213:L221,"&gt;0")</f>
        <v>0</v>
      </c>
      <c r="L222" s="45">
        <f>K222+L207</f>
        <v>0</v>
      </c>
      <c r="M222" s="44">
        <f>COUNTIF(N213:N221,"&gt;0")</f>
        <v>0</v>
      </c>
      <c r="N222" s="45">
        <f>M222+N207</f>
        <v>0</v>
      </c>
      <c r="O222" s="44">
        <f>COUNTIF(P213:P221,"&gt;0")</f>
        <v>0</v>
      </c>
      <c r="P222" s="45">
        <f>O222+P207</f>
        <v>0</v>
      </c>
      <c r="Q222" s="44">
        <f>COUNTIF(R213:R221,"&gt;0")</f>
        <v>0</v>
      </c>
      <c r="R222" s="45">
        <f>Q222+R207</f>
        <v>0</v>
      </c>
      <c r="S222" s="44">
        <f>COUNTIF(T213:T221,"&gt;0")</f>
        <v>0</v>
      </c>
      <c r="T222" s="45">
        <f>S222+T207</f>
        <v>0</v>
      </c>
      <c r="U222" s="44">
        <f>COUNTIF(V213:V221,"&gt;0")</f>
        <v>0</v>
      </c>
      <c r="V222" s="45">
        <f>U222+V207</f>
        <v>0</v>
      </c>
      <c r="AF222" s="34"/>
      <c r="AG222" s="34"/>
      <c r="AH222" s="34"/>
      <c r="AI222" s="34"/>
      <c r="AJ222" s="34"/>
    </row>
    <row r="223" spans="3:122" ht="11.25" customHeight="1" x14ac:dyDescent="0.2">
      <c r="C223" s="41">
        <f>(I223+K223+M223+O223+Q223+S223+U223)</f>
        <v>0</v>
      </c>
      <c r="E223" s="42">
        <f>C223/8</f>
        <v>0</v>
      </c>
      <c r="F223" s="137">
        <f>F222+H222</f>
        <v>0</v>
      </c>
      <c r="G223" s="137"/>
      <c r="H223" s="137"/>
      <c r="I223" s="46">
        <f>SUM(J213:J221)</f>
        <v>0</v>
      </c>
      <c r="J223" s="47">
        <f>I223+J208</f>
        <v>0</v>
      </c>
      <c r="K223" s="46">
        <f>SUM(L213:L221)</f>
        <v>0</v>
      </c>
      <c r="L223" s="47">
        <f>K223+L208</f>
        <v>0</v>
      </c>
      <c r="M223" s="46">
        <f>SUM(N213:N221)</f>
        <v>0</v>
      </c>
      <c r="N223" s="47">
        <f>M223+N208</f>
        <v>0</v>
      </c>
      <c r="O223" s="46">
        <f>SUM(P213:P221)</f>
        <v>0</v>
      </c>
      <c r="P223" s="47">
        <f>O223+P208</f>
        <v>0</v>
      </c>
      <c r="Q223" s="46">
        <f>SUM(R213:R221)</f>
        <v>0</v>
      </c>
      <c r="R223" s="47">
        <f>Q223+R208</f>
        <v>0</v>
      </c>
      <c r="S223" s="46">
        <f>SUM(T213:T221)</f>
        <v>0</v>
      </c>
      <c r="T223" s="47">
        <f>S223+T208</f>
        <v>0</v>
      </c>
      <c r="U223" s="46">
        <f>SUM(V213:V221)</f>
        <v>0</v>
      </c>
      <c r="V223" s="47">
        <f>U223+V208</f>
        <v>0</v>
      </c>
      <c r="AF223" s="34"/>
      <c r="AG223" s="34"/>
      <c r="AH223" s="34"/>
      <c r="AI223" s="34"/>
      <c r="AJ223" s="34"/>
    </row>
    <row r="224" spans="3:122" ht="11.25" customHeight="1" thickBot="1" x14ac:dyDescent="0.25">
      <c r="C224" s="41">
        <f>(I224+K224+M224+O224+Q224+S224+U224)</f>
        <v>0</v>
      </c>
      <c r="E224" s="42">
        <f>C224/8</f>
        <v>0</v>
      </c>
      <c r="F224" s="138">
        <f>F223+F209</f>
        <v>0</v>
      </c>
      <c r="G224" s="138"/>
      <c r="H224" s="138"/>
      <c r="I224" s="48">
        <f>I222*I223</f>
        <v>0</v>
      </c>
      <c r="J224" s="49">
        <f>I224+J209</f>
        <v>0</v>
      </c>
      <c r="K224" s="48">
        <f>K222*K223</f>
        <v>0</v>
      </c>
      <c r="L224" s="49">
        <f>K224+L209</f>
        <v>0</v>
      </c>
      <c r="M224" s="48">
        <f>M222*M223</f>
        <v>0</v>
      </c>
      <c r="N224" s="49">
        <f>M224+N209</f>
        <v>0</v>
      </c>
      <c r="O224" s="48">
        <f>O222*O223</f>
        <v>0</v>
      </c>
      <c r="P224" s="49">
        <f>O224+P209</f>
        <v>0</v>
      </c>
      <c r="Q224" s="48">
        <f>Q222*Q223</f>
        <v>0</v>
      </c>
      <c r="R224" s="49">
        <f>Q224+R209</f>
        <v>0</v>
      </c>
      <c r="S224" s="48">
        <f>S222*S223</f>
        <v>0</v>
      </c>
      <c r="T224" s="49">
        <f>S224+T209</f>
        <v>0</v>
      </c>
      <c r="U224" s="48">
        <f>U222*U223</f>
        <v>0</v>
      </c>
      <c r="V224" s="49">
        <f>U224+V209</f>
        <v>0</v>
      </c>
      <c r="AF224" s="34"/>
      <c r="AG224" s="34"/>
      <c r="AH224" s="34"/>
      <c r="AI224" s="34"/>
      <c r="AJ224" s="34"/>
      <c r="AL224" s="5">
        <f>MAX(I224,K224,M224,O224,Q224,S224,U224)</f>
        <v>0</v>
      </c>
      <c r="AM224" s="5">
        <f>MIN(I224,K224,M224,O224,Q224,S224,U224)</f>
        <v>0</v>
      </c>
      <c r="AN224" s="5"/>
      <c r="AO224" s="5"/>
      <c r="AP224" s="5"/>
      <c r="AQ224" s="5"/>
      <c r="AR224" s="5"/>
      <c r="AS224" s="13"/>
      <c r="AT224" s="5"/>
      <c r="AU224" s="5"/>
      <c r="AV224" s="5"/>
      <c r="AW224" s="5"/>
      <c r="AX224" s="5"/>
      <c r="AY224" s="5"/>
      <c r="AZ224" s="5"/>
      <c r="BA224" s="5"/>
      <c r="BB224" s="5"/>
      <c r="BD224" s="5"/>
      <c r="BE224" s="5"/>
      <c r="BF224" s="14"/>
      <c r="BG224" s="13"/>
      <c r="BH224" s="5"/>
      <c r="BI224" s="14"/>
      <c r="BJ224" s="13"/>
      <c r="BK224" s="5"/>
      <c r="BL224" s="14"/>
      <c r="BM224" s="13"/>
      <c r="BN224" s="5"/>
      <c r="BO224" s="14"/>
      <c r="BP224" s="13"/>
      <c r="BQ224" s="5"/>
      <c r="BR224" s="14"/>
      <c r="BS224" s="13"/>
      <c r="BT224" s="5"/>
      <c r="BU224" s="14"/>
      <c r="BV224" s="13"/>
      <c r="BW224" s="5"/>
      <c r="BX224" s="14"/>
      <c r="BY224" s="13"/>
      <c r="BZ224" s="5"/>
      <c r="CA224" s="14"/>
      <c r="CB224" s="13"/>
      <c r="CC224" s="5"/>
      <c r="CD224" s="14"/>
      <c r="CE224" s="13"/>
      <c r="CF224" s="5"/>
      <c r="CG224" s="14"/>
      <c r="CH224" s="13"/>
      <c r="CI224" s="5"/>
      <c r="CJ224" s="14"/>
      <c r="CK224" s="13"/>
      <c r="CL224" s="5"/>
      <c r="CM224" s="14"/>
      <c r="CN224" s="13"/>
      <c r="CO224" s="5"/>
      <c r="CP224" s="14"/>
      <c r="CQ224" s="13"/>
      <c r="CR224" s="5"/>
      <c r="CS224" s="14"/>
      <c r="CT224" s="13"/>
      <c r="CU224" s="5"/>
      <c r="CV224" s="14"/>
      <c r="CW224" s="13"/>
      <c r="CX224" s="5"/>
      <c r="CY224" s="14"/>
      <c r="CZ224" s="13"/>
      <c r="DA224" s="5"/>
      <c r="DB224" s="14"/>
      <c r="DC224" s="13"/>
      <c r="DD224" s="5"/>
      <c r="DE224" s="14"/>
      <c r="DF224" s="5"/>
      <c r="DG224" s="5"/>
      <c r="DH224" s="5"/>
    </row>
    <row r="225" spans="3:122" ht="11.25" customHeight="1" thickTop="1" x14ac:dyDescent="0.2">
      <c r="I225" s="50"/>
      <c r="J225" s="50">
        <f>L224-J224</f>
        <v>0</v>
      </c>
      <c r="K225" s="50"/>
      <c r="L225" s="50"/>
      <c r="M225" s="50"/>
      <c r="N225" s="50">
        <f>L224-N224</f>
        <v>0</v>
      </c>
      <c r="O225" s="50"/>
      <c r="P225" s="50">
        <f>L224-P224</f>
        <v>0</v>
      </c>
      <c r="Q225" s="50"/>
      <c r="R225" s="50">
        <f>L224-R224</f>
        <v>0</v>
      </c>
      <c r="S225" s="50"/>
      <c r="T225" s="50">
        <f>L224-T224</f>
        <v>0</v>
      </c>
      <c r="U225" s="50"/>
      <c r="V225" s="50">
        <f>L224-V224</f>
        <v>0</v>
      </c>
    </row>
    <row r="226" spans="3:122" ht="11.25" customHeight="1" x14ac:dyDescent="0.2">
      <c r="I226" s="139" t="str">
        <f>ß101</f>
        <v>Kropp</v>
      </c>
      <c r="J226" s="139"/>
      <c r="K226" s="139" t="str">
        <f>ß102</f>
        <v>Nörnberg</v>
      </c>
      <c r="L226" s="139"/>
      <c r="M226" s="139" t="str">
        <f>ß103</f>
        <v>Bübel</v>
      </c>
      <c r="N226" s="139"/>
      <c r="O226" s="139" t="str">
        <f>ß104</f>
        <v>Schwicht.</v>
      </c>
      <c r="P226" s="139"/>
      <c r="Q226" s="139" t="str">
        <f>ß105</f>
        <v>Rontzko.</v>
      </c>
      <c r="R226" s="139"/>
      <c r="S226" s="139" t="str">
        <f>ß106</f>
        <v>Hauschildt</v>
      </c>
      <c r="T226" s="139"/>
      <c r="U226" s="139" t="str">
        <f>ß107</f>
        <v>Zerres</v>
      </c>
      <c r="V226" s="139"/>
      <c r="AF226" s="11"/>
      <c r="AG226" s="11"/>
      <c r="AH226" s="11"/>
      <c r="AI226" s="11"/>
      <c r="AJ226" s="11"/>
      <c r="AL226" s="5" t="str">
        <f>IF($I239=$AL239,I226,"x")</f>
        <v>Kropp</v>
      </c>
      <c r="AM226" s="5" t="str">
        <f>IF($K239=$AL239,K226,"x")</f>
        <v>Nörnberg</v>
      </c>
      <c r="AN226" s="5" t="str">
        <f>IF($M239=$AL239,M226,"x")</f>
        <v>Bübel</v>
      </c>
      <c r="AO226" s="5" t="str">
        <f>IF($O239=$AL239,O226,"x")</f>
        <v>Schwicht.</v>
      </c>
      <c r="AP226" s="5" t="str">
        <f>IF($Q239=$AL239,Q226,"x")</f>
        <v>Rontzko.</v>
      </c>
      <c r="AQ226" s="5" t="str">
        <f>IF($S239=$AL239,S226,"x")</f>
        <v>Hauschildt</v>
      </c>
      <c r="AR226" s="5" t="str">
        <f>IF($U239=$AL239,U226,"x")</f>
        <v>Zerres</v>
      </c>
      <c r="AS226" s="13" t="str">
        <f>IF($I239=$AM239,I226,"x")</f>
        <v>Kropp</v>
      </c>
      <c r="AT226" s="5" t="str">
        <f>IF($K239=$AM239,K226,"x")</f>
        <v>Nörnberg</v>
      </c>
      <c r="AU226" s="5" t="str">
        <f>IF($M239=$AM239,M226,"x")</f>
        <v>Bübel</v>
      </c>
      <c r="AV226" s="5" t="str">
        <f>IF($O239=$AM239,O226,"x")</f>
        <v>Schwicht.</v>
      </c>
      <c r="AW226" s="5" t="str">
        <f>IF($Q239=$AM239,Q226,"x")</f>
        <v>Rontzko.</v>
      </c>
      <c r="AX226" s="5" t="str">
        <f>IF($S239=$AM239,S226,"x")</f>
        <v>Hauschildt</v>
      </c>
      <c r="AY226" s="5" t="str">
        <f>IF($U239=$AM239,U226,"x")</f>
        <v>Zerres</v>
      </c>
      <c r="BD226" s="140" t="str">
        <f>ß01</f>
        <v>Bayern</v>
      </c>
      <c r="BE226" s="140"/>
      <c r="BF226" s="140"/>
      <c r="BG226" s="141" t="str">
        <f>ß02</f>
        <v>Leipzig</v>
      </c>
      <c r="BH226" s="141"/>
      <c r="BI226" s="141"/>
      <c r="BJ226" s="141" t="str">
        <f>ß03</f>
        <v>Leverk.</v>
      </c>
      <c r="BK226" s="141"/>
      <c r="BL226" s="141"/>
      <c r="BM226" s="141" t="str">
        <f>ß04</f>
        <v>Hoffenheim</v>
      </c>
      <c r="BN226" s="141"/>
      <c r="BO226" s="141"/>
      <c r="BP226" s="141" t="str">
        <f>ß05</f>
        <v>Frankfurt</v>
      </c>
      <c r="BQ226" s="141"/>
      <c r="BR226" s="141"/>
      <c r="BS226" s="141" t="str">
        <f>ß06</f>
        <v>Werder</v>
      </c>
      <c r="BT226" s="141"/>
      <c r="BU226" s="141"/>
      <c r="BV226" s="141" t="str">
        <f>ß07</f>
        <v>Freiburg</v>
      </c>
      <c r="BW226" s="141"/>
      <c r="BX226" s="141"/>
      <c r="BY226" s="141" t="str">
        <f>ß08</f>
        <v>Augsburg</v>
      </c>
      <c r="BZ226" s="141"/>
      <c r="CA226" s="141"/>
      <c r="CB226" s="141" t="str">
        <f>ß09</f>
        <v>Mainz</v>
      </c>
      <c r="CC226" s="141"/>
      <c r="CD226" s="141"/>
      <c r="CE226" s="141" t="str">
        <f>ß10</f>
        <v>Köln</v>
      </c>
      <c r="CF226" s="141"/>
      <c r="CG226" s="141"/>
      <c r="CH226" s="141" t="str">
        <f>ß11</f>
        <v>M'gladb.</v>
      </c>
      <c r="CI226" s="141"/>
      <c r="CJ226" s="141"/>
      <c r="CK226" s="141" t="str">
        <f>ß12</f>
        <v>HSV</v>
      </c>
      <c r="CL226" s="141"/>
      <c r="CM226" s="141"/>
      <c r="CN226" s="141" t="str">
        <f>ß13</f>
        <v>Union</v>
      </c>
      <c r="CO226" s="141"/>
      <c r="CP226" s="141"/>
      <c r="CQ226" s="141" t="str">
        <f>ß14</f>
        <v>Stuttgart</v>
      </c>
      <c r="CR226" s="141"/>
      <c r="CS226" s="141"/>
      <c r="CT226" s="141" t="str">
        <f>ß15</f>
        <v>St. Pauli</v>
      </c>
      <c r="CU226" s="141"/>
      <c r="CV226" s="141"/>
      <c r="CW226" s="141" t="str">
        <f>ß16</f>
        <v>Dortmund</v>
      </c>
      <c r="CX226" s="141"/>
      <c r="CY226" s="141"/>
      <c r="CZ226" s="141" t="str">
        <f>ß17</f>
        <v>Heidenheim</v>
      </c>
      <c r="DA226" s="141"/>
      <c r="DB226" s="141"/>
      <c r="DC226" s="141" t="str">
        <f>ß18</f>
        <v>Wolfsburg</v>
      </c>
      <c r="DD226" s="141"/>
      <c r="DE226" s="141"/>
    </row>
    <row r="227" spans="3:122" ht="11.25" customHeight="1" x14ac:dyDescent="0.2">
      <c r="C227" s="16" t="str">
        <f>Mannschaften!F16</f>
        <v>16. Spieltag</v>
      </c>
      <c r="D227" s="11"/>
      <c r="E227" s="17" t="str">
        <f>Mannschaften!G16</f>
        <v>9.-11.1.26</v>
      </c>
      <c r="I227" s="19">
        <f>RANK(Rang!A16,Rang!A16:G16)</f>
        <v>1</v>
      </c>
      <c r="J227" s="20">
        <f>RANK(Rang!H16,Rang!H16:N16)</f>
        <v>1</v>
      </c>
      <c r="K227" s="19">
        <f>RANK(Rang!B16,Rang!A16:G16)</f>
        <v>1</v>
      </c>
      <c r="L227" s="20">
        <f>RANK(Rang!I16,Rang!H16:N16)</f>
        <v>1</v>
      </c>
      <c r="M227" s="19">
        <f>RANK(Rang!C16,Rang!A16:G16)</f>
        <v>1</v>
      </c>
      <c r="N227" s="20">
        <f>RANK(Rang!J16,Rang!H16:N16)</f>
        <v>1</v>
      </c>
      <c r="O227" s="19">
        <f>RANK(Rang!D16,Rang!A16:G16)</f>
        <v>1</v>
      </c>
      <c r="P227" s="20">
        <f>RANK(Rang!K16,Rang!H16:N16)</f>
        <v>1</v>
      </c>
      <c r="Q227" s="19">
        <f>RANK(Rang!E16,Rang!A16:G16)</f>
        <v>1</v>
      </c>
      <c r="R227" s="20">
        <f>RANK(Rang!L16,Rang!H16:N16)</f>
        <v>1</v>
      </c>
      <c r="S227" s="19">
        <f>RANK(Rang!F16,Rang!A16:G16)</f>
        <v>1</v>
      </c>
      <c r="T227" s="20">
        <f>RANK(Rang!M16,Rang!H16:N16)</f>
        <v>1</v>
      </c>
      <c r="U227" s="19">
        <f>RANK(Rang!G16,Rang!A16:G16)</f>
        <v>1</v>
      </c>
      <c r="V227" s="20">
        <f>RANK(Rang!N16,Rang!H16:N16)</f>
        <v>1</v>
      </c>
      <c r="AF227" s="22"/>
      <c r="AG227" s="22"/>
      <c r="AH227" s="22"/>
      <c r="AI227" s="22"/>
      <c r="AJ227" s="22"/>
      <c r="AK227" s="21"/>
      <c r="AL227" s="21"/>
      <c r="AM227" s="21"/>
      <c r="AN227" s="21"/>
      <c r="AO227" s="21"/>
      <c r="AP227" s="21"/>
      <c r="AQ227" s="21"/>
      <c r="AR227" s="21"/>
      <c r="AS227" s="24"/>
      <c r="AT227" s="21"/>
      <c r="AU227" s="21"/>
      <c r="AV227" s="21"/>
      <c r="AW227" s="21"/>
      <c r="AX227" s="21"/>
      <c r="AY227" s="21"/>
      <c r="AZ227" s="21"/>
      <c r="BA227" s="21"/>
      <c r="BB227" s="21"/>
      <c r="BD227" s="25" t="s">
        <v>4</v>
      </c>
      <c r="BE227" s="25" t="s">
        <v>5</v>
      </c>
      <c r="BF227" s="26" t="s">
        <v>6</v>
      </c>
      <c r="BG227" s="27" t="s">
        <v>4</v>
      </c>
      <c r="BH227" s="25" t="s">
        <v>5</v>
      </c>
      <c r="BI227" s="26" t="s">
        <v>6</v>
      </c>
      <c r="BJ227" s="27" t="s">
        <v>4</v>
      </c>
      <c r="BK227" s="25" t="s">
        <v>5</v>
      </c>
      <c r="BL227" s="26" t="s">
        <v>6</v>
      </c>
      <c r="BM227" s="27" t="s">
        <v>4</v>
      </c>
      <c r="BN227" s="25" t="s">
        <v>5</v>
      </c>
      <c r="BO227" s="26" t="s">
        <v>6</v>
      </c>
      <c r="BP227" s="27" t="s">
        <v>4</v>
      </c>
      <c r="BQ227" s="25" t="s">
        <v>5</v>
      </c>
      <c r="BR227" s="26" t="s">
        <v>6</v>
      </c>
      <c r="BS227" s="27" t="s">
        <v>4</v>
      </c>
      <c r="BT227" s="25" t="s">
        <v>5</v>
      </c>
      <c r="BU227" s="26" t="s">
        <v>6</v>
      </c>
      <c r="BV227" s="27" t="s">
        <v>4</v>
      </c>
      <c r="BW227" s="25" t="s">
        <v>5</v>
      </c>
      <c r="BX227" s="26" t="s">
        <v>6</v>
      </c>
      <c r="BY227" s="27" t="s">
        <v>4</v>
      </c>
      <c r="BZ227" s="25" t="s">
        <v>5</v>
      </c>
      <c r="CA227" s="26" t="s">
        <v>6</v>
      </c>
      <c r="CB227" s="27" t="s">
        <v>4</v>
      </c>
      <c r="CC227" s="25" t="s">
        <v>5</v>
      </c>
      <c r="CD227" s="26" t="s">
        <v>6</v>
      </c>
      <c r="CE227" s="27" t="s">
        <v>4</v>
      </c>
      <c r="CF227" s="25" t="s">
        <v>5</v>
      </c>
      <c r="CG227" s="26" t="s">
        <v>6</v>
      </c>
      <c r="CH227" s="27" t="s">
        <v>4</v>
      </c>
      <c r="CI227" s="25" t="s">
        <v>5</v>
      </c>
      <c r="CJ227" s="26" t="s">
        <v>6</v>
      </c>
      <c r="CK227" s="27" t="s">
        <v>4</v>
      </c>
      <c r="CL227" s="25" t="s">
        <v>5</v>
      </c>
      <c r="CM227" s="26" t="s">
        <v>6</v>
      </c>
      <c r="CN227" s="27" t="s">
        <v>4</v>
      </c>
      <c r="CO227" s="25" t="s">
        <v>5</v>
      </c>
      <c r="CP227" s="26" t="s">
        <v>6</v>
      </c>
      <c r="CQ227" s="27" t="s">
        <v>4</v>
      </c>
      <c r="CR227" s="25" t="s">
        <v>5</v>
      </c>
      <c r="CS227" s="26" t="s">
        <v>6</v>
      </c>
      <c r="CT227" s="27" t="s">
        <v>4</v>
      </c>
      <c r="CU227" s="25" t="s">
        <v>5</v>
      </c>
      <c r="CV227" s="26" t="s">
        <v>6</v>
      </c>
      <c r="CW227" s="27" t="s">
        <v>4</v>
      </c>
      <c r="CX227" s="25" t="s">
        <v>5</v>
      </c>
      <c r="CY227" s="26" t="s">
        <v>6</v>
      </c>
      <c r="CZ227" s="27" t="s">
        <v>4</v>
      </c>
      <c r="DA227" s="25" t="s">
        <v>5</v>
      </c>
      <c r="DB227" s="26" t="s">
        <v>6</v>
      </c>
      <c r="DC227" s="27" t="s">
        <v>4</v>
      </c>
      <c r="DD227" s="25" t="s">
        <v>5</v>
      </c>
      <c r="DE227" s="26" t="s">
        <v>6</v>
      </c>
      <c r="DF227" s="21"/>
      <c r="DG227" s="21"/>
      <c r="DH227" s="21"/>
      <c r="DN227" s="136" t="s">
        <v>7</v>
      </c>
      <c r="DO227" s="136"/>
      <c r="DP227" s="136" t="s">
        <v>8</v>
      </c>
      <c r="DQ227" s="136"/>
      <c r="DR227" s="28"/>
    </row>
    <row r="228" spans="3:122" ht="11.25" customHeight="1" x14ac:dyDescent="0.2">
      <c r="C228" s="2" t="str">
        <f>ß01</f>
        <v>Bayern</v>
      </c>
      <c r="D228" s="3" t="s">
        <v>11</v>
      </c>
      <c r="E228" s="2" t="str">
        <f>ß18</f>
        <v>Wolfsburg</v>
      </c>
      <c r="F228" s="29"/>
      <c r="G228" s="3" t="s">
        <v>12</v>
      </c>
      <c r="H228" s="30"/>
      <c r="I228" s="31"/>
      <c r="J228" s="32" t="str">
        <f t="shared" ref="J228:J236" si="215">IF($F228="","",(IF(I228="","",IF(I228=$DG228,(VLOOKUP($DH228,$DJ$3:$DK$11,2,FALSE())),0))))</f>
        <v/>
      </c>
      <c r="K228" s="31"/>
      <c r="L228" s="32" t="str">
        <f t="shared" ref="L228:L236" si="216">IF($F228="","",(IF(K228="","",IF(K228=$DG228,(VLOOKUP($DH228,$DJ$3:$DK$11,2,FALSE())),0))))</f>
        <v/>
      </c>
      <c r="M228" s="31"/>
      <c r="N228" s="32" t="str">
        <f t="shared" ref="N228:N236" si="217">IF($F228="","",(IF(M228="","",IF(M228=$DG228,(VLOOKUP($DH228,$DJ$3:$DK$11,2,FALSE())),0))))</f>
        <v/>
      </c>
      <c r="O228" s="31"/>
      <c r="P228" s="32" t="str">
        <f t="shared" ref="P228:P236" si="218">IF($F228="","",(IF(O228="","",IF(O228=$DG228,(VLOOKUP($DH228,$DJ$3:$DK$11,2,FALSE())),0))))</f>
        <v/>
      </c>
      <c r="Q228" s="31"/>
      <c r="R228" s="32" t="str">
        <f t="shared" ref="R228:R236" si="219">IF($F228="","",(IF(Q228="","",IF(Q228=$DG228,(VLOOKUP($DH228,$DJ$3:$DK$11,2,FALSE())),0))))</f>
        <v/>
      </c>
      <c r="S228" s="31"/>
      <c r="T228" s="32" t="str">
        <f t="shared" ref="T228:T236" si="220">IF($F228="","",(IF(S228="","",IF(S228=$DG228,(VLOOKUP($DH228,$DJ$3:$DK$11,2,FALSE())),0))))</f>
        <v/>
      </c>
      <c r="U228" s="31"/>
      <c r="V228" s="32" t="str">
        <f t="shared" ref="V228:V236" si="221">IF($F228="","",(IF(U228="","",IF(U228=$DG228,(VLOOKUP($DH228,$DJ$3:$DK$11,2,FALSE())),0))))</f>
        <v/>
      </c>
      <c r="AF228" s="34"/>
      <c r="AG228" s="34"/>
      <c r="AH228" s="34"/>
      <c r="AI228" s="34"/>
      <c r="AJ228" s="34"/>
      <c r="AN228" s="5"/>
      <c r="AO228" s="5"/>
      <c r="AP228" s="5"/>
      <c r="AQ228" s="5"/>
      <c r="AR228" s="5"/>
      <c r="AS228" s="13"/>
      <c r="AT228" s="5"/>
      <c r="AU228" s="5"/>
      <c r="AV228" s="5"/>
      <c r="AW228" s="5"/>
      <c r="AX228" s="5"/>
      <c r="AY228" s="5"/>
      <c r="BC228" s="6">
        <v>227</v>
      </c>
      <c r="BD228" s="35">
        <f>IF(ISERROR(MATCH(ß01,$C228:$C236,0)),"",MATCH(ß01,$C228:$C236,0))</f>
        <v>1</v>
      </c>
      <c r="BE228" s="35" t="str">
        <f>IF(ISERROR(MATCH(ß01,$E228:$E236,0)),"",MATCH(ß01,$E228:$E236,0))</f>
        <v/>
      </c>
      <c r="BF228" s="15">
        <f>SUM(BD228:BE228)+BC228</f>
        <v>228</v>
      </c>
      <c r="BG228" s="36" t="str">
        <f>IF(ISERROR(MATCH(ß02,$C228:$C236,0)),"",MATCH(ß02,$C228:$C236,0))</f>
        <v/>
      </c>
      <c r="BH228" s="35">
        <f>IF(ISERROR(MATCH(ß02,$E228:$E236,0)),"",MATCH(ß02,$E228:$E236,0))</f>
        <v>8</v>
      </c>
      <c r="BI228" s="15">
        <f>SUM(BG228:BH228)+BC228</f>
        <v>235</v>
      </c>
      <c r="BJ228" s="36">
        <f>IF(ISERROR(MATCH(ß03,$C228:$C236,0)),"",MATCH(ß03,$C228:$C236,0))</f>
        <v>2</v>
      </c>
      <c r="BK228" s="35" t="str">
        <f>IF(ISERROR(MATCH(ß03,$E228:$E236,0)),"",MATCH(ß03,$E228:$E236,0))</f>
        <v/>
      </c>
      <c r="BL228" s="15">
        <f>SUM(BJ228:BK228)+BC228</f>
        <v>229</v>
      </c>
      <c r="BM228" s="36" t="str">
        <f>IF(ISERROR(MATCH(ß04,$C228:$C236,0)),"",MATCH(ß04,$C228:$C236,0))</f>
        <v/>
      </c>
      <c r="BN228" s="35">
        <f>IF(ISERROR(MATCH(ß04,$E228:$E236,0)),"",MATCH(ß04,$E228:$E236,0))</f>
        <v>5</v>
      </c>
      <c r="BO228" s="15">
        <f>SUM(BM228:BN228)+BC228</f>
        <v>232</v>
      </c>
      <c r="BP228" s="36">
        <f>IF(ISERROR(MATCH(ß05,$C228:$C236,0)),"",MATCH(ß05,$C228:$C236,0))</f>
        <v>3</v>
      </c>
      <c r="BQ228" s="35" t="str">
        <f>IF(ISERROR(MATCH(ß05,$E228:$E236,0)),"",MATCH(ß05,$E228:$E236,0))</f>
        <v/>
      </c>
      <c r="BR228" s="15">
        <f>SUM(BP228:BQ228)+BC228</f>
        <v>230</v>
      </c>
      <c r="BS228" s="36">
        <f>IF(ISERROR(MATCH(ß06,$C228:$C236,0)),"",MATCH(ß06,$C228:$C236,0))</f>
        <v>5</v>
      </c>
      <c r="BT228" s="35" t="str">
        <f>IF(ISERROR(MATCH(ß06,$E228:$E236,0)),"",MATCH(ß06,$E228:$E236,0))</f>
        <v/>
      </c>
      <c r="BU228" s="15">
        <f>SUM(BS228:BT228)+BC228</f>
        <v>232</v>
      </c>
      <c r="BV228" s="36">
        <f>IF(ISERROR(MATCH(ß07,$C228:$C236,0)),"",MATCH(ß07,$C228:$C236,0))</f>
        <v>4</v>
      </c>
      <c r="BW228" s="35" t="str">
        <f>IF(ISERROR(MATCH(ß07,$E228:$E236,0)),"",MATCH(ß07,$E228:$E236,0))</f>
        <v/>
      </c>
      <c r="BX228" s="15">
        <f>SUM(BV228:BW228)+BC228</f>
        <v>231</v>
      </c>
      <c r="BY228" s="36" t="str">
        <f>IF(ISERROR(MATCH(ß08,$C228:$C236,0)),"",MATCH(ß08,$C228:$C236,0))</f>
        <v/>
      </c>
      <c r="BZ228" s="35">
        <f>IF(ISERROR(MATCH(ß08,$E228:$E236,0)),"",MATCH(ß08,$E228:$E236,0))</f>
        <v>6</v>
      </c>
      <c r="CA228" s="15">
        <f>SUM(BY228:BZ228)+BC228</f>
        <v>233</v>
      </c>
      <c r="CB228" s="36" t="str">
        <f>IF(ISERROR(MATCH(ß09,$C228:$C236,0)),"",MATCH(ß09,$C228:$C236,0))</f>
        <v/>
      </c>
      <c r="CC228" s="35">
        <f>IF(ISERROR(MATCH(ß09,$E228:$E236,0)),"",MATCH(ß09,$E228:$E236,0))</f>
        <v>7</v>
      </c>
      <c r="CD228" s="15">
        <f>SUM(CB228:CC228)+BC228</f>
        <v>234</v>
      </c>
      <c r="CE228" s="36" t="str">
        <f>IF(ISERROR(MATCH(ß10,$C228:$C236,0)),"",MATCH(ß10,$C228:$C236,0))</f>
        <v/>
      </c>
      <c r="CF228" s="35">
        <f>IF(ISERROR(MATCH(ß10,$E228:$E236,0)),"",MATCH(ß10,$E228:$E236,0))</f>
        <v>9</v>
      </c>
      <c r="CG228" s="15">
        <f>SUM(CE228:CF228)+BC228</f>
        <v>236</v>
      </c>
      <c r="CH228" s="36">
        <f>IF(ISERROR(MATCH(ß11,$C228:$C236,0)),"",MATCH(ß11,$C228:$C236,0))</f>
        <v>6</v>
      </c>
      <c r="CI228" s="35" t="str">
        <f>IF(ISERROR(MATCH(ß11,$E228:$E236,0)),"",MATCH(ß11,$E228:$E236,0))</f>
        <v/>
      </c>
      <c r="CJ228" s="15">
        <f>SUM(CH228:CI228)+BC228</f>
        <v>233</v>
      </c>
      <c r="CK228" s="36" t="str">
        <f>IF(ISERROR(MATCH(ß12,$C228:$C236,0)),"",MATCH(ß12,$C228:$C236,0))</f>
        <v/>
      </c>
      <c r="CL228" s="35">
        <f>IF(ISERROR(MATCH(ß12,$E228:$E236,0)),"",MATCH(ß12,$E228:$E236,0))</f>
        <v>4</v>
      </c>
      <c r="CM228" s="15">
        <f>SUM(CK228:CL228)+BC228</f>
        <v>231</v>
      </c>
      <c r="CN228" s="36">
        <f>IF(ISERROR(MATCH(ß13,$C228:$C236,0)),"",MATCH(ß13,$C228:$C236,0))</f>
        <v>7</v>
      </c>
      <c r="CO228" s="35" t="str">
        <f>IF(ISERROR(MATCH(ß13,$E228:$E236,0)),"",MATCH(ß13,$E228:$E236,0))</f>
        <v/>
      </c>
      <c r="CP228" s="15">
        <f>SUM(CN228:CO228)+BC228</f>
        <v>234</v>
      </c>
      <c r="CQ228" s="36" t="str">
        <f>IF(ISERROR(MATCH(ß14,$C228:$C236,0)),"",MATCH(ß14,$C228:$C236,0))</f>
        <v/>
      </c>
      <c r="CR228" s="35">
        <f>IF(ISERROR(MATCH(ß14,$E228:$E236,0)),"",MATCH(ß14,$E228:$E236,0))</f>
        <v>2</v>
      </c>
      <c r="CS228" s="15">
        <f>SUM(CQ228:CR228)+BC228</f>
        <v>229</v>
      </c>
      <c r="CT228" s="36">
        <f>IF(ISERROR(MATCH(ß15,$C228:$C236,0)),"",MATCH(ß15,$C228:$C236,0))</f>
        <v>8</v>
      </c>
      <c r="CU228" s="35" t="str">
        <f>IF(ISERROR(MATCH(ß15,$E228:$E236,0)),"",MATCH(ß15,$E228:$E236,0))</f>
        <v/>
      </c>
      <c r="CV228" s="15">
        <f>SUM(CT228:CU228)+BC228</f>
        <v>235</v>
      </c>
      <c r="CW228" s="36" t="str">
        <f>IF(ISERROR(MATCH(ß16,$C228:$C236,0)),"",MATCH(ß16,$C228:$C236,0))</f>
        <v/>
      </c>
      <c r="CX228" s="35">
        <f>IF(ISERROR(MATCH(ß16,$E228:$E236,0)),"",MATCH(ß16,$E228:$E236,0))</f>
        <v>3</v>
      </c>
      <c r="CY228" s="15">
        <f>SUM(CW228:CX228)+BC228</f>
        <v>230</v>
      </c>
      <c r="CZ228" s="36">
        <f>IF(ISERROR(MATCH(ß17,$C228:$C236,0)),"",MATCH(ß17,$C228:$C236,0))</f>
        <v>9</v>
      </c>
      <c r="DA228" s="35" t="str">
        <f>IF(ISERROR(MATCH(ß17,$E228:$E236,0)),"",MATCH(ß17,$E228:$E236,0))</f>
        <v/>
      </c>
      <c r="DB228" s="15">
        <f>SUM(CZ228:DA228)+BC228</f>
        <v>236</v>
      </c>
      <c r="DC228" s="36" t="str">
        <f>IF(ISERROR(MATCH(ß18,$C228:$C236,0)),"",MATCH(ß18,$C228:$C236,0))</f>
        <v/>
      </c>
      <c r="DD228" s="35">
        <f>IF(ISERROR(MATCH(ß18,$E228:$E236,0)),"",MATCH(ß18,$E228:$E236,0))</f>
        <v>1</v>
      </c>
      <c r="DE228" s="15">
        <f>SUM(DC228:DD228)+BC228</f>
        <v>228</v>
      </c>
      <c r="DG228" s="8" t="str">
        <f t="shared" ref="DG228:DG236" si="222">IF(F228="","",(IF(F228=H228,0,IF(F228&gt;H228,1,IF(F228&lt;H228,2)))))</f>
        <v/>
      </c>
      <c r="DH228" s="3">
        <f>COUNTIF(I228,DG228)+COUNTIF(K228,DG228)+COUNTIF(M228,DG228)+COUNTIF(O228,DG228)+COUNTIF(Q228,DG228)+COUNTIF(S228,DG228)+COUNTIF(U228,DG228)</f>
        <v>7</v>
      </c>
      <c r="DN228" s="12">
        <f t="shared" ref="DN228:DN236" si="223">F228</f>
        <v>0</v>
      </c>
      <c r="DO228" s="5">
        <f t="shared" ref="DO228:DO236" si="224">H228</f>
        <v>0</v>
      </c>
      <c r="DP228" s="5" t="str">
        <f t="shared" ref="DP228:DP236" si="225">IF($F228="","",IF(DN228&gt;DO228,3,IF(DN228&lt;DO228,0,1)))</f>
        <v/>
      </c>
      <c r="DQ228" s="5" t="str">
        <f t="shared" ref="DQ228:DQ236" si="226">IF($H228="","",IF(DO228&gt;DN228,3,IF(DO228&lt;DN228,0,1)))</f>
        <v/>
      </c>
      <c r="DR228" s="5">
        <f t="shared" ref="DR228:DR236" si="227">IF(ISBLANK(F228),0,1)</f>
        <v>0</v>
      </c>
    </row>
    <row r="229" spans="3:122" ht="11.25" customHeight="1" x14ac:dyDescent="0.2">
      <c r="C229" s="2" t="str">
        <f>ß03</f>
        <v>Leverk.</v>
      </c>
      <c r="D229" s="3" t="s">
        <v>11</v>
      </c>
      <c r="E229" s="2" t="str">
        <f>ß14</f>
        <v>Stuttgart</v>
      </c>
      <c r="F229" s="29"/>
      <c r="G229" s="3" t="s">
        <v>12</v>
      </c>
      <c r="H229" s="30"/>
      <c r="I229" s="37"/>
      <c r="J229" s="38" t="str">
        <f t="shared" si="215"/>
        <v/>
      </c>
      <c r="K229" s="37"/>
      <c r="L229" s="38" t="str">
        <f t="shared" si="216"/>
        <v/>
      </c>
      <c r="M229" s="37"/>
      <c r="N229" s="38" t="str">
        <f t="shared" si="217"/>
        <v/>
      </c>
      <c r="O229" s="37"/>
      <c r="P229" s="38" t="str">
        <f t="shared" si="218"/>
        <v/>
      </c>
      <c r="Q229" s="37"/>
      <c r="R229" s="38" t="str">
        <f t="shared" si="219"/>
        <v/>
      </c>
      <c r="S229" s="37"/>
      <c r="T229" s="38" t="str">
        <f t="shared" si="220"/>
        <v/>
      </c>
      <c r="U229" s="33"/>
      <c r="V229" s="38" t="str">
        <f t="shared" si="221"/>
        <v/>
      </c>
      <c r="AF229" s="34"/>
      <c r="AG229" s="34"/>
      <c r="AH229" s="34"/>
      <c r="AI229" s="34"/>
      <c r="AJ229" s="34"/>
      <c r="DG229" s="8" t="str">
        <f t="shared" si="222"/>
        <v/>
      </c>
      <c r="DH229" s="3">
        <f t="shared" ref="DH229:DH236" si="228">COUNTIF(I229,DG229)+COUNTIF(K229,DG229)+COUNTIF(M229,DG229)+COUNTIF(O229,DG229)+COUNTIF(Q229,DG229)+COUNTIF(S229,DG229)+COUNTIF(U229,DG229)</f>
        <v>7</v>
      </c>
      <c r="DN229" s="12">
        <f t="shared" si="223"/>
        <v>0</v>
      </c>
      <c r="DO229" s="5">
        <f t="shared" si="224"/>
        <v>0</v>
      </c>
      <c r="DP229" s="5" t="str">
        <f t="shared" si="225"/>
        <v/>
      </c>
      <c r="DQ229" s="5" t="str">
        <f t="shared" si="226"/>
        <v/>
      </c>
      <c r="DR229" s="5">
        <f t="shared" si="227"/>
        <v>0</v>
      </c>
    </row>
    <row r="230" spans="3:122" ht="11.25" customHeight="1" x14ac:dyDescent="0.2">
      <c r="C230" s="2" t="str">
        <f>ß05</f>
        <v>Frankfurt</v>
      </c>
      <c r="D230" s="3" t="s">
        <v>11</v>
      </c>
      <c r="E230" s="2" t="str">
        <f>ß16</f>
        <v>Dortmund</v>
      </c>
      <c r="F230" s="29"/>
      <c r="G230" s="3" t="s">
        <v>12</v>
      </c>
      <c r="H230" s="30"/>
      <c r="I230" s="37"/>
      <c r="J230" s="38" t="str">
        <f t="shared" si="215"/>
        <v/>
      </c>
      <c r="K230" s="37"/>
      <c r="L230" s="38" t="str">
        <f t="shared" si="216"/>
        <v/>
      </c>
      <c r="M230" s="37"/>
      <c r="N230" s="38" t="str">
        <f t="shared" si="217"/>
        <v/>
      </c>
      <c r="O230" s="37"/>
      <c r="P230" s="38" t="str">
        <f t="shared" si="218"/>
        <v/>
      </c>
      <c r="Q230" s="37"/>
      <c r="R230" s="38" t="str">
        <f t="shared" si="219"/>
        <v/>
      </c>
      <c r="S230" s="37"/>
      <c r="T230" s="38" t="str">
        <f t="shared" si="220"/>
        <v/>
      </c>
      <c r="U230" s="33"/>
      <c r="V230" s="38" t="str">
        <f t="shared" si="221"/>
        <v/>
      </c>
      <c r="AF230" s="34"/>
      <c r="AG230" s="34"/>
      <c r="AH230" s="34"/>
      <c r="AI230" s="34"/>
      <c r="AJ230" s="34"/>
      <c r="DG230" s="8" t="str">
        <f t="shared" si="222"/>
        <v/>
      </c>
      <c r="DH230" s="3">
        <f t="shared" si="228"/>
        <v>7</v>
      </c>
      <c r="DN230" s="12">
        <f t="shared" si="223"/>
        <v>0</v>
      </c>
      <c r="DO230" s="5">
        <f t="shared" si="224"/>
        <v>0</v>
      </c>
      <c r="DP230" s="5" t="str">
        <f t="shared" si="225"/>
        <v/>
      </c>
      <c r="DQ230" s="5" t="str">
        <f t="shared" si="226"/>
        <v/>
      </c>
      <c r="DR230" s="5">
        <f t="shared" si="227"/>
        <v>0</v>
      </c>
    </row>
    <row r="231" spans="3:122" ht="11.25" customHeight="1" x14ac:dyDescent="0.2">
      <c r="C231" s="2" t="str">
        <f>ß07</f>
        <v>Freiburg</v>
      </c>
      <c r="D231" s="3" t="s">
        <v>11</v>
      </c>
      <c r="E231" s="2" t="str">
        <f>ß12</f>
        <v>HSV</v>
      </c>
      <c r="F231" s="29"/>
      <c r="G231" s="3" t="s">
        <v>12</v>
      </c>
      <c r="H231" s="30"/>
      <c r="I231" s="37"/>
      <c r="J231" s="38" t="str">
        <f t="shared" si="215"/>
        <v/>
      </c>
      <c r="K231" s="37"/>
      <c r="L231" s="38" t="str">
        <f t="shared" si="216"/>
        <v/>
      </c>
      <c r="M231" s="37"/>
      <c r="N231" s="38" t="str">
        <f t="shared" si="217"/>
        <v/>
      </c>
      <c r="O231" s="37"/>
      <c r="P231" s="38" t="str">
        <f t="shared" si="218"/>
        <v/>
      </c>
      <c r="Q231" s="37"/>
      <c r="R231" s="38" t="str">
        <f t="shared" si="219"/>
        <v/>
      </c>
      <c r="S231" s="37"/>
      <c r="T231" s="38" t="str">
        <f t="shared" si="220"/>
        <v/>
      </c>
      <c r="U231" s="33"/>
      <c r="V231" s="38" t="str">
        <f t="shared" si="221"/>
        <v/>
      </c>
      <c r="AF231" s="34"/>
      <c r="AG231" s="34"/>
      <c r="AH231" s="34"/>
      <c r="AI231" s="34"/>
      <c r="AJ231" s="34"/>
      <c r="DG231" s="8" t="str">
        <f t="shared" si="222"/>
        <v/>
      </c>
      <c r="DH231" s="3">
        <f t="shared" si="228"/>
        <v>7</v>
      </c>
      <c r="DN231" s="12">
        <f t="shared" si="223"/>
        <v>0</v>
      </c>
      <c r="DO231" s="5">
        <f t="shared" si="224"/>
        <v>0</v>
      </c>
      <c r="DP231" s="5" t="str">
        <f t="shared" si="225"/>
        <v/>
      </c>
      <c r="DQ231" s="5" t="str">
        <f t="shared" si="226"/>
        <v/>
      </c>
      <c r="DR231" s="5">
        <f t="shared" si="227"/>
        <v>0</v>
      </c>
    </row>
    <row r="232" spans="3:122" ht="11.25" customHeight="1" x14ac:dyDescent="0.2">
      <c r="C232" s="2" t="str">
        <f>ß06</f>
        <v>Werder</v>
      </c>
      <c r="D232" s="3" t="s">
        <v>11</v>
      </c>
      <c r="E232" s="2" t="str">
        <f>ß04</f>
        <v>Hoffenheim</v>
      </c>
      <c r="F232" s="29"/>
      <c r="G232" s="3" t="s">
        <v>12</v>
      </c>
      <c r="H232" s="30"/>
      <c r="I232" s="37"/>
      <c r="J232" s="38" t="str">
        <f t="shared" si="215"/>
        <v/>
      </c>
      <c r="K232" s="37"/>
      <c r="L232" s="38" t="str">
        <f t="shared" si="216"/>
        <v/>
      </c>
      <c r="M232" s="37"/>
      <c r="N232" s="38" t="str">
        <f t="shared" si="217"/>
        <v/>
      </c>
      <c r="O232" s="37"/>
      <c r="P232" s="38" t="str">
        <f t="shared" si="218"/>
        <v/>
      </c>
      <c r="Q232" s="37"/>
      <c r="R232" s="38" t="str">
        <f t="shared" si="219"/>
        <v/>
      </c>
      <c r="S232" s="37"/>
      <c r="T232" s="38" t="str">
        <f t="shared" si="220"/>
        <v/>
      </c>
      <c r="U232" s="33"/>
      <c r="V232" s="38" t="str">
        <f t="shared" si="221"/>
        <v/>
      </c>
      <c r="AF232" s="34"/>
      <c r="AG232" s="34"/>
      <c r="AH232" s="34"/>
      <c r="AI232" s="34"/>
      <c r="AJ232" s="34"/>
      <c r="DG232" s="8" t="str">
        <f t="shared" si="222"/>
        <v/>
      </c>
      <c r="DH232" s="3">
        <f t="shared" si="228"/>
        <v>7</v>
      </c>
      <c r="DN232" s="12">
        <f t="shared" si="223"/>
        <v>0</v>
      </c>
      <c r="DO232" s="5">
        <f t="shared" si="224"/>
        <v>0</v>
      </c>
      <c r="DP232" s="5" t="str">
        <f t="shared" si="225"/>
        <v/>
      </c>
      <c r="DQ232" s="5" t="str">
        <f t="shared" si="226"/>
        <v/>
      </c>
      <c r="DR232" s="5">
        <f t="shared" si="227"/>
        <v>0</v>
      </c>
    </row>
    <row r="233" spans="3:122" ht="11.25" customHeight="1" x14ac:dyDescent="0.2">
      <c r="C233" s="2" t="str">
        <f>ß11</f>
        <v>M'gladb.</v>
      </c>
      <c r="D233" s="3" t="s">
        <v>11</v>
      </c>
      <c r="E233" s="2" t="str">
        <f>ß08</f>
        <v>Augsburg</v>
      </c>
      <c r="F233" s="29"/>
      <c r="G233" s="3" t="s">
        <v>12</v>
      </c>
      <c r="H233" s="30"/>
      <c r="I233" s="37"/>
      <c r="J233" s="38" t="str">
        <f t="shared" si="215"/>
        <v/>
      </c>
      <c r="K233" s="37"/>
      <c r="L233" s="38" t="str">
        <f t="shared" si="216"/>
        <v/>
      </c>
      <c r="M233" s="37"/>
      <c r="N233" s="38" t="str">
        <f t="shared" si="217"/>
        <v/>
      </c>
      <c r="O233" s="37"/>
      <c r="P233" s="38" t="str">
        <f t="shared" si="218"/>
        <v/>
      </c>
      <c r="Q233" s="37"/>
      <c r="R233" s="38" t="str">
        <f t="shared" si="219"/>
        <v/>
      </c>
      <c r="S233" s="37"/>
      <c r="T233" s="38" t="str">
        <f t="shared" si="220"/>
        <v/>
      </c>
      <c r="U233" s="33"/>
      <c r="V233" s="38" t="str">
        <f t="shared" si="221"/>
        <v/>
      </c>
      <c r="AF233" s="34"/>
      <c r="AG233" s="34"/>
      <c r="AH233" s="34"/>
      <c r="AI233" s="34"/>
      <c r="AJ233" s="34"/>
      <c r="DG233" s="8" t="str">
        <f t="shared" si="222"/>
        <v/>
      </c>
      <c r="DH233" s="3">
        <f t="shared" si="228"/>
        <v>7</v>
      </c>
      <c r="DN233" s="12">
        <f t="shared" si="223"/>
        <v>0</v>
      </c>
      <c r="DO233" s="5">
        <f t="shared" si="224"/>
        <v>0</v>
      </c>
      <c r="DP233" s="5" t="str">
        <f t="shared" si="225"/>
        <v/>
      </c>
      <c r="DQ233" s="5" t="str">
        <f t="shared" si="226"/>
        <v/>
      </c>
      <c r="DR233" s="5">
        <f t="shared" si="227"/>
        <v>0</v>
      </c>
    </row>
    <row r="234" spans="3:122" ht="11.25" customHeight="1" x14ac:dyDescent="0.2">
      <c r="C234" s="2" t="str">
        <f>ß13</f>
        <v>Union</v>
      </c>
      <c r="D234" s="3" t="s">
        <v>11</v>
      </c>
      <c r="E234" s="2" t="str">
        <f>ß09</f>
        <v>Mainz</v>
      </c>
      <c r="F234" s="29"/>
      <c r="G234" s="3" t="s">
        <v>12</v>
      </c>
      <c r="H234" s="30"/>
      <c r="I234" s="37"/>
      <c r="J234" s="38" t="str">
        <f t="shared" si="215"/>
        <v/>
      </c>
      <c r="K234" s="37"/>
      <c r="L234" s="38" t="str">
        <f t="shared" si="216"/>
        <v/>
      </c>
      <c r="M234" s="37"/>
      <c r="N234" s="38" t="str">
        <f t="shared" si="217"/>
        <v/>
      </c>
      <c r="O234" s="37"/>
      <c r="P234" s="38" t="str">
        <f t="shared" si="218"/>
        <v/>
      </c>
      <c r="Q234" s="37"/>
      <c r="R234" s="38" t="str">
        <f t="shared" si="219"/>
        <v/>
      </c>
      <c r="S234" s="37"/>
      <c r="T234" s="38" t="str">
        <f t="shared" si="220"/>
        <v/>
      </c>
      <c r="U234" s="33"/>
      <c r="V234" s="38" t="str">
        <f t="shared" si="221"/>
        <v/>
      </c>
      <c r="AF234" s="34"/>
      <c r="AG234" s="34"/>
      <c r="AH234" s="34"/>
      <c r="AI234" s="34"/>
      <c r="AJ234" s="34"/>
      <c r="DG234" s="8" t="str">
        <f t="shared" si="222"/>
        <v/>
      </c>
      <c r="DH234" s="3">
        <f t="shared" si="228"/>
        <v>7</v>
      </c>
      <c r="DN234" s="12">
        <f t="shared" si="223"/>
        <v>0</v>
      </c>
      <c r="DO234" s="5">
        <f t="shared" si="224"/>
        <v>0</v>
      </c>
      <c r="DP234" s="5" t="str">
        <f t="shared" si="225"/>
        <v/>
      </c>
      <c r="DQ234" s="5" t="str">
        <f t="shared" si="226"/>
        <v/>
      </c>
      <c r="DR234" s="5">
        <f t="shared" si="227"/>
        <v>0</v>
      </c>
    </row>
    <row r="235" spans="3:122" ht="11.25" customHeight="1" x14ac:dyDescent="0.2">
      <c r="C235" s="2" t="str">
        <f>ß15</f>
        <v>St. Pauli</v>
      </c>
      <c r="D235" s="3" t="s">
        <v>11</v>
      </c>
      <c r="E235" s="2" t="str">
        <f>ß02</f>
        <v>Leipzig</v>
      </c>
      <c r="F235" s="29"/>
      <c r="G235" s="3" t="s">
        <v>12</v>
      </c>
      <c r="H235" s="30"/>
      <c r="I235" s="37"/>
      <c r="J235" s="38" t="str">
        <f t="shared" si="215"/>
        <v/>
      </c>
      <c r="K235" s="37"/>
      <c r="L235" s="38" t="str">
        <f t="shared" si="216"/>
        <v/>
      </c>
      <c r="M235" s="37"/>
      <c r="N235" s="38" t="str">
        <f t="shared" si="217"/>
        <v/>
      </c>
      <c r="O235" s="37"/>
      <c r="P235" s="38" t="str">
        <f t="shared" si="218"/>
        <v/>
      </c>
      <c r="Q235" s="37"/>
      <c r="R235" s="38" t="str">
        <f t="shared" si="219"/>
        <v/>
      </c>
      <c r="S235" s="37"/>
      <c r="T235" s="38" t="str">
        <f t="shared" si="220"/>
        <v/>
      </c>
      <c r="U235" s="33"/>
      <c r="V235" s="38" t="str">
        <f t="shared" si="221"/>
        <v/>
      </c>
      <c r="AF235" s="34"/>
      <c r="AG235" s="34"/>
      <c r="AH235" s="34"/>
      <c r="AI235" s="34"/>
      <c r="AJ235" s="34"/>
      <c r="DG235" s="8" t="str">
        <f t="shared" si="222"/>
        <v/>
      </c>
      <c r="DH235" s="3">
        <f t="shared" si="228"/>
        <v>7</v>
      </c>
      <c r="DN235" s="12">
        <f t="shared" si="223"/>
        <v>0</v>
      </c>
      <c r="DO235" s="5">
        <f t="shared" si="224"/>
        <v>0</v>
      </c>
      <c r="DP235" s="5" t="str">
        <f t="shared" si="225"/>
        <v/>
      </c>
      <c r="DQ235" s="5" t="str">
        <f t="shared" si="226"/>
        <v/>
      </c>
      <c r="DR235" s="5">
        <f t="shared" si="227"/>
        <v>0</v>
      </c>
    </row>
    <row r="236" spans="3:122" ht="11.25" customHeight="1" thickBot="1" x14ac:dyDescent="0.25">
      <c r="C236" s="2" t="str">
        <f>ß17</f>
        <v>Heidenheim</v>
      </c>
      <c r="D236" s="3" t="s">
        <v>11</v>
      </c>
      <c r="E236" s="2" t="str">
        <f>ß10</f>
        <v>Köln</v>
      </c>
      <c r="F236" s="29"/>
      <c r="G236" s="3" t="s">
        <v>12</v>
      </c>
      <c r="H236" s="30"/>
      <c r="I236" s="37"/>
      <c r="J236" s="38" t="str">
        <f t="shared" si="215"/>
        <v/>
      </c>
      <c r="K236" s="37"/>
      <c r="L236" s="38" t="str">
        <f t="shared" si="216"/>
        <v/>
      </c>
      <c r="M236" s="37"/>
      <c r="N236" s="38" t="str">
        <f t="shared" si="217"/>
        <v/>
      </c>
      <c r="O236" s="37"/>
      <c r="P236" s="38" t="str">
        <f t="shared" si="218"/>
        <v/>
      </c>
      <c r="Q236" s="37"/>
      <c r="R236" s="38" t="str">
        <f t="shared" si="219"/>
        <v/>
      </c>
      <c r="S236" s="37"/>
      <c r="T236" s="38" t="str">
        <f t="shared" si="220"/>
        <v/>
      </c>
      <c r="U236" s="33"/>
      <c r="V236" s="38" t="str">
        <f t="shared" si="221"/>
        <v/>
      </c>
      <c r="AF236" s="34"/>
      <c r="AG236" s="34"/>
      <c r="AH236" s="34"/>
      <c r="AI236" s="34"/>
      <c r="AJ236" s="34"/>
      <c r="DG236" s="8" t="str">
        <f t="shared" si="222"/>
        <v/>
      </c>
      <c r="DH236" s="3">
        <f t="shared" si="228"/>
        <v>7</v>
      </c>
      <c r="DN236" s="12">
        <f t="shared" si="223"/>
        <v>0</v>
      </c>
      <c r="DO236" s="5">
        <f t="shared" si="224"/>
        <v>0</v>
      </c>
      <c r="DP236" s="5" t="str">
        <f t="shared" si="225"/>
        <v/>
      </c>
      <c r="DQ236" s="5" t="str">
        <f t="shared" si="226"/>
        <v/>
      </c>
      <c r="DR236" s="5">
        <f t="shared" si="227"/>
        <v>0</v>
      </c>
    </row>
    <row r="237" spans="3:122" ht="11.25" customHeight="1" thickTop="1" x14ac:dyDescent="0.2">
      <c r="C237" s="41">
        <f>(I237+K237+M237+O237+Q237+S237+U237)</f>
        <v>0</v>
      </c>
      <c r="E237" s="42">
        <f>C237/8</f>
        <v>0</v>
      </c>
      <c r="F237" s="41">
        <f>SUM(F228:F236)</f>
        <v>0</v>
      </c>
      <c r="G237" s="2"/>
      <c r="H237" s="43">
        <f>SUM(H228:H236)</f>
        <v>0</v>
      </c>
      <c r="I237" s="44">
        <f>COUNTIF(J228:J236,"&gt;0")</f>
        <v>0</v>
      </c>
      <c r="J237" s="45">
        <f>I237+J222</f>
        <v>0</v>
      </c>
      <c r="K237" s="44">
        <f>COUNTIF(L228:L236,"&gt;0")</f>
        <v>0</v>
      </c>
      <c r="L237" s="45">
        <f>K237+L222</f>
        <v>0</v>
      </c>
      <c r="M237" s="44">
        <f>COUNTIF(N228:N236,"&gt;0")</f>
        <v>0</v>
      </c>
      <c r="N237" s="45">
        <f>M237+N222</f>
        <v>0</v>
      </c>
      <c r="O237" s="44">
        <f>COUNTIF(P228:P236,"&gt;0")</f>
        <v>0</v>
      </c>
      <c r="P237" s="45">
        <f>O237+P222</f>
        <v>0</v>
      </c>
      <c r="Q237" s="44">
        <f>COUNTIF(R228:R236,"&gt;0")</f>
        <v>0</v>
      </c>
      <c r="R237" s="45">
        <f>Q237+R222</f>
        <v>0</v>
      </c>
      <c r="S237" s="44">
        <f>COUNTIF(T228:T236,"&gt;0")</f>
        <v>0</v>
      </c>
      <c r="T237" s="45">
        <f>S237+T222</f>
        <v>0</v>
      </c>
      <c r="U237" s="44">
        <f>COUNTIF(V228:V236,"&gt;0")</f>
        <v>0</v>
      </c>
      <c r="V237" s="45">
        <f>U237+V222</f>
        <v>0</v>
      </c>
      <c r="AF237" s="34"/>
      <c r="AG237" s="34"/>
      <c r="AH237" s="34"/>
      <c r="AI237" s="34"/>
      <c r="AJ237" s="34"/>
      <c r="DN237" s="12"/>
    </row>
    <row r="238" spans="3:122" ht="11.25" customHeight="1" x14ac:dyDescent="0.2">
      <c r="C238" s="41">
        <f>(I238+K238+M238+O238+Q238+S238+U238)</f>
        <v>0</v>
      </c>
      <c r="E238" s="42">
        <f>C238/8</f>
        <v>0</v>
      </c>
      <c r="F238" s="137">
        <f>F237+H237</f>
        <v>0</v>
      </c>
      <c r="G238" s="137"/>
      <c r="H238" s="137"/>
      <c r="I238" s="46">
        <f>SUM(J228:J236)</f>
        <v>0</v>
      </c>
      <c r="J238" s="47">
        <f>I238+J223</f>
        <v>0</v>
      </c>
      <c r="K238" s="46">
        <f>SUM(L228:L236)</f>
        <v>0</v>
      </c>
      <c r="L238" s="47">
        <f>K238+L223</f>
        <v>0</v>
      </c>
      <c r="M238" s="46">
        <f>SUM(N228:N236)</f>
        <v>0</v>
      </c>
      <c r="N238" s="47">
        <f>M238+N223</f>
        <v>0</v>
      </c>
      <c r="O238" s="46">
        <f>SUM(P228:P236)</f>
        <v>0</v>
      </c>
      <c r="P238" s="47">
        <f>O238+P223</f>
        <v>0</v>
      </c>
      <c r="Q238" s="46">
        <f>SUM(R228:R236)</f>
        <v>0</v>
      </c>
      <c r="R238" s="47">
        <f>Q238+R223</f>
        <v>0</v>
      </c>
      <c r="S238" s="46">
        <f>SUM(T228:T236)</f>
        <v>0</v>
      </c>
      <c r="T238" s="47">
        <f>S238+T223</f>
        <v>0</v>
      </c>
      <c r="U238" s="46">
        <f>SUM(V228:V236)</f>
        <v>0</v>
      </c>
      <c r="V238" s="47">
        <f>U238+V223</f>
        <v>0</v>
      </c>
      <c r="AF238" s="34"/>
      <c r="AG238" s="34"/>
      <c r="AH238" s="34"/>
      <c r="AI238" s="34"/>
      <c r="AJ238" s="34"/>
      <c r="DN238" s="12"/>
    </row>
    <row r="239" spans="3:122" ht="11.25" customHeight="1" thickBot="1" x14ac:dyDescent="0.25">
      <c r="C239" s="41">
        <f>(I239+K239+M239+O239+Q239+S239+U239)</f>
        <v>0</v>
      </c>
      <c r="E239" s="42">
        <f>C239/8</f>
        <v>0</v>
      </c>
      <c r="F239" s="138">
        <f>F238+F224</f>
        <v>0</v>
      </c>
      <c r="G239" s="138"/>
      <c r="H239" s="138"/>
      <c r="I239" s="48">
        <f>I237*I238</f>
        <v>0</v>
      </c>
      <c r="J239" s="49">
        <f>I239+J224</f>
        <v>0</v>
      </c>
      <c r="K239" s="48">
        <f>K237*K238</f>
        <v>0</v>
      </c>
      <c r="L239" s="49">
        <f>K239+L224</f>
        <v>0</v>
      </c>
      <c r="M239" s="48">
        <f>M237*M238</f>
        <v>0</v>
      </c>
      <c r="N239" s="49">
        <f>M239+N224</f>
        <v>0</v>
      </c>
      <c r="O239" s="48">
        <f>O237*O238</f>
        <v>0</v>
      </c>
      <c r="P239" s="49">
        <f>O239+P224</f>
        <v>0</v>
      </c>
      <c r="Q239" s="48">
        <f>Q237*Q238</f>
        <v>0</v>
      </c>
      <c r="R239" s="49">
        <f>Q239+R224</f>
        <v>0</v>
      </c>
      <c r="S239" s="48">
        <f>S237*S238</f>
        <v>0</v>
      </c>
      <c r="T239" s="49">
        <f>S239+T224</f>
        <v>0</v>
      </c>
      <c r="U239" s="48">
        <f>U237*U238</f>
        <v>0</v>
      </c>
      <c r="V239" s="49">
        <f>U239+V224</f>
        <v>0</v>
      </c>
      <c r="AF239" s="34"/>
      <c r="AG239" s="34"/>
      <c r="AH239" s="34"/>
      <c r="AI239" s="34"/>
      <c r="AJ239" s="34"/>
      <c r="AL239" s="5">
        <f>MAX(I239,K239,M239,O239,Q239,S239,U239)</f>
        <v>0</v>
      </c>
      <c r="AM239" s="5">
        <f>MIN(I239,K239,M239,O239,Q239,S239,U239)</f>
        <v>0</v>
      </c>
      <c r="AN239" s="5"/>
      <c r="AO239" s="5"/>
      <c r="AP239" s="5"/>
      <c r="AQ239" s="5"/>
      <c r="AR239" s="5"/>
      <c r="AS239" s="13"/>
      <c r="AT239" s="5"/>
      <c r="AU239" s="5"/>
      <c r="AV239" s="5"/>
      <c r="AW239" s="5"/>
      <c r="AX239" s="5"/>
      <c r="AY239" s="5"/>
      <c r="AZ239" s="5"/>
      <c r="BA239" s="5"/>
      <c r="BB239" s="5"/>
      <c r="BD239" s="5"/>
      <c r="BE239" s="5"/>
      <c r="BF239" s="14"/>
      <c r="BG239" s="13"/>
      <c r="BH239" s="5"/>
      <c r="BI239" s="14"/>
      <c r="BJ239" s="13"/>
      <c r="BK239" s="5"/>
      <c r="BL239" s="14"/>
      <c r="BM239" s="13"/>
      <c r="BN239" s="5"/>
      <c r="BO239" s="14"/>
      <c r="BP239" s="13"/>
      <c r="BQ239" s="5"/>
      <c r="BR239" s="14"/>
      <c r="BS239" s="13"/>
      <c r="BT239" s="5"/>
      <c r="BU239" s="14"/>
      <c r="BV239" s="13"/>
      <c r="BW239" s="5"/>
      <c r="BX239" s="14"/>
      <c r="BY239" s="13"/>
      <c r="BZ239" s="5"/>
      <c r="CA239" s="14"/>
      <c r="CB239" s="13"/>
      <c r="CC239" s="5"/>
      <c r="CD239" s="14"/>
      <c r="CE239" s="13"/>
      <c r="CF239" s="5"/>
      <c r="CG239" s="14"/>
      <c r="CH239" s="13"/>
      <c r="CI239" s="5"/>
      <c r="CJ239" s="14"/>
      <c r="CK239" s="13"/>
      <c r="CL239" s="5"/>
      <c r="CM239" s="14"/>
      <c r="CN239" s="13"/>
      <c r="CO239" s="5"/>
      <c r="CP239" s="14"/>
      <c r="CQ239" s="13"/>
      <c r="CR239" s="5"/>
      <c r="CS239" s="14"/>
      <c r="CT239" s="13"/>
      <c r="CU239" s="5"/>
      <c r="CV239" s="14"/>
      <c r="CW239" s="13"/>
      <c r="CX239" s="5"/>
      <c r="CY239" s="14"/>
      <c r="CZ239" s="13"/>
      <c r="DA239" s="5"/>
      <c r="DB239" s="14"/>
      <c r="DC239" s="13"/>
      <c r="DD239" s="5"/>
      <c r="DE239" s="14"/>
      <c r="DF239" s="5"/>
      <c r="DG239" s="5"/>
      <c r="DH239" s="5"/>
      <c r="DN239" s="12"/>
    </row>
    <row r="240" spans="3:122" ht="11.25" customHeight="1" thickTop="1" x14ac:dyDescent="0.2">
      <c r="I240" s="50"/>
      <c r="J240" s="50">
        <f>L239-J239</f>
        <v>0</v>
      </c>
      <c r="K240" s="50"/>
      <c r="L240" s="50"/>
      <c r="M240" s="50"/>
      <c r="N240" s="50">
        <f>L239-N239</f>
        <v>0</v>
      </c>
      <c r="O240" s="50"/>
      <c r="P240" s="50">
        <f>L239-P239</f>
        <v>0</v>
      </c>
      <c r="Q240" s="50"/>
      <c r="R240" s="50">
        <f>L239-R239</f>
        <v>0</v>
      </c>
      <c r="S240" s="50"/>
      <c r="T240" s="50">
        <f>L239-T239</f>
        <v>0</v>
      </c>
      <c r="U240" s="50"/>
      <c r="V240" s="50">
        <f>L239-V239</f>
        <v>0</v>
      </c>
    </row>
    <row r="241" spans="3:122" ht="11.25" customHeight="1" x14ac:dyDescent="0.2">
      <c r="I241" s="139" t="str">
        <f>ß101</f>
        <v>Kropp</v>
      </c>
      <c r="J241" s="139"/>
      <c r="K241" s="139" t="str">
        <f>ß102</f>
        <v>Nörnberg</v>
      </c>
      <c r="L241" s="139"/>
      <c r="M241" s="139" t="str">
        <f>ß103</f>
        <v>Bübel</v>
      </c>
      <c r="N241" s="139"/>
      <c r="O241" s="139" t="str">
        <f>ß104</f>
        <v>Schwicht.</v>
      </c>
      <c r="P241" s="139"/>
      <c r="Q241" s="139" t="str">
        <f>ß105</f>
        <v>Rontzko.</v>
      </c>
      <c r="R241" s="139"/>
      <c r="S241" s="139" t="str">
        <f>ß106</f>
        <v>Hauschildt</v>
      </c>
      <c r="T241" s="139"/>
      <c r="U241" s="139" t="str">
        <f>ß107</f>
        <v>Zerres</v>
      </c>
      <c r="V241" s="139"/>
      <c r="AF241" s="11"/>
      <c r="AG241" s="11"/>
      <c r="AH241" s="11"/>
      <c r="AI241" s="11"/>
      <c r="AJ241" s="11"/>
      <c r="AL241" s="5" t="str">
        <f>IF($I254=$AL254,I241,"x")</f>
        <v>Kropp</v>
      </c>
      <c r="AM241" s="5" t="str">
        <f>IF($K254=$AL254,K241,"x")</f>
        <v>Nörnberg</v>
      </c>
      <c r="AN241" s="5" t="str">
        <f>IF($M254=$AL254,M241,"x")</f>
        <v>Bübel</v>
      </c>
      <c r="AO241" s="5" t="str">
        <f>IF($O254=$AL254,O241,"x")</f>
        <v>Schwicht.</v>
      </c>
      <c r="AP241" s="5" t="str">
        <f>IF($Q254=$AL254,Q241,"x")</f>
        <v>Rontzko.</v>
      </c>
      <c r="AQ241" s="5" t="str">
        <f>IF($S254=$AL254,S241,"x")</f>
        <v>Hauschildt</v>
      </c>
      <c r="AR241" s="5" t="str">
        <f>IF($U254=$AL254,U241,"x")</f>
        <v>Zerres</v>
      </c>
      <c r="AS241" s="13" t="str">
        <f>IF($I254=$AM254,I241,"x")</f>
        <v>Kropp</v>
      </c>
      <c r="AT241" s="5" t="str">
        <f>IF($K254=$AM254,K241,"x")</f>
        <v>Nörnberg</v>
      </c>
      <c r="AU241" s="5" t="str">
        <f>IF($M254=$AM254,M241,"x")</f>
        <v>Bübel</v>
      </c>
      <c r="AV241" s="5" t="str">
        <f>IF($O254=$AM254,O241,"x")</f>
        <v>Schwicht.</v>
      </c>
      <c r="AW241" s="5" t="str">
        <f>IF($Q254=$AM254,Q241,"x")</f>
        <v>Rontzko.</v>
      </c>
      <c r="AX241" s="5" t="str">
        <f>IF($S254=$AM254,S241,"x")</f>
        <v>Hauschildt</v>
      </c>
      <c r="AY241" s="5" t="str">
        <f>IF($U254=$AM254,U241,"x")</f>
        <v>Zerres</v>
      </c>
      <c r="BD241" s="140" t="str">
        <f>ß01</f>
        <v>Bayern</v>
      </c>
      <c r="BE241" s="140"/>
      <c r="BF241" s="140"/>
      <c r="BG241" s="141" t="str">
        <f>ß02</f>
        <v>Leipzig</v>
      </c>
      <c r="BH241" s="141"/>
      <c r="BI241" s="141"/>
      <c r="BJ241" s="141" t="str">
        <f>ß03</f>
        <v>Leverk.</v>
      </c>
      <c r="BK241" s="141"/>
      <c r="BL241" s="141"/>
      <c r="BM241" s="141" t="str">
        <f>ß04</f>
        <v>Hoffenheim</v>
      </c>
      <c r="BN241" s="141"/>
      <c r="BO241" s="141"/>
      <c r="BP241" s="141" t="str">
        <f>ß05</f>
        <v>Frankfurt</v>
      </c>
      <c r="BQ241" s="141"/>
      <c r="BR241" s="141"/>
      <c r="BS241" s="141" t="str">
        <f>ß06</f>
        <v>Werder</v>
      </c>
      <c r="BT241" s="141"/>
      <c r="BU241" s="141"/>
      <c r="BV241" s="141" t="str">
        <f>ß07</f>
        <v>Freiburg</v>
      </c>
      <c r="BW241" s="141"/>
      <c r="BX241" s="141"/>
      <c r="BY241" s="141" t="str">
        <f>ß08</f>
        <v>Augsburg</v>
      </c>
      <c r="BZ241" s="141"/>
      <c r="CA241" s="141"/>
      <c r="CB241" s="141" t="str">
        <f>ß09</f>
        <v>Mainz</v>
      </c>
      <c r="CC241" s="141"/>
      <c r="CD241" s="141"/>
      <c r="CE241" s="141" t="str">
        <f>ß10</f>
        <v>Köln</v>
      </c>
      <c r="CF241" s="141"/>
      <c r="CG241" s="141"/>
      <c r="CH241" s="141" t="str">
        <f>ß11</f>
        <v>M'gladb.</v>
      </c>
      <c r="CI241" s="141"/>
      <c r="CJ241" s="141"/>
      <c r="CK241" s="141" t="str">
        <f>ß12</f>
        <v>HSV</v>
      </c>
      <c r="CL241" s="141"/>
      <c r="CM241" s="141"/>
      <c r="CN241" s="141" t="str">
        <f>ß13</f>
        <v>Union</v>
      </c>
      <c r="CO241" s="141"/>
      <c r="CP241" s="141"/>
      <c r="CQ241" s="141" t="str">
        <f>ß14</f>
        <v>Stuttgart</v>
      </c>
      <c r="CR241" s="141"/>
      <c r="CS241" s="141"/>
      <c r="CT241" s="141" t="str">
        <f>ß15</f>
        <v>St. Pauli</v>
      </c>
      <c r="CU241" s="141"/>
      <c r="CV241" s="141"/>
      <c r="CW241" s="141" t="str">
        <f>ß16</f>
        <v>Dortmund</v>
      </c>
      <c r="CX241" s="141"/>
      <c r="CY241" s="141"/>
      <c r="CZ241" s="141" t="str">
        <f>ß17</f>
        <v>Heidenheim</v>
      </c>
      <c r="DA241" s="141"/>
      <c r="DB241" s="141"/>
      <c r="DC241" s="141" t="str">
        <f>ß18</f>
        <v>Wolfsburg</v>
      </c>
      <c r="DD241" s="141"/>
      <c r="DE241" s="141"/>
      <c r="DN241" s="12"/>
    </row>
    <row r="242" spans="3:122" ht="11.25" customHeight="1" x14ac:dyDescent="0.2">
      <c r="C242" s="16" t="str">
        <f>Mannschaften!F17</f>
        <v>17. Spieltag</v>
      </c>
      <c r="D242" s="11"/>
      <c r="E242" s="17" t="str">
        <f>Mannschaften!G17</f>
        <v>13.-15.1.26</v>
      </c>
      <c r="I242" s="19">
        <f>RANK(Rang!A17,Rang!A17:G17)</f>
        <v>1</v>
      </c>
      <c r="J242" s="20">
        <f>RANK(Rang!H17,Rang!H17:N17)</f>
        <v>1</v>
      </c>
      <c r="K242" s="19">
        <f>RANK(Rang!B17,Rang!A17:G17)</f>
        <v>1</v>
      </c>
      <c r="L242" s="20">
        <f>RANK(Rang!I17,Rang!H17:N17)</f>
        <v>1</v>
      </c>
      <c r="M242" s="19">
        <f>RANK(Rang!C17,Rang!A17:G17)</f>
        <v>1</v>
      </c>
      <c r="N242" s="20">
        <f>RANK(Rang!J17,Rang!H17:N17)</f>
        <v>1</v>
      </c>
      <c r="O242" s="19">
        <f>RANK(Rang!D17,Rang!A17:G17)</f>
        <v>1</v>
      </c>
      <c r="P242" s="20">
        <f>RANK(Rang!K17,Rang!H17:N17)</f>
        <v>1</v>
      </c>
      <c r="Q242" s="19">
        <f>RANK(Rang!E17,Rang!A17:G17)</f>
        <v>1</v>
      </c>
      <c r="R242" s="20">
        <f>RANK(Rang!L17,Rang!H17:N17)</f>
        <v>1</v>
      </c>
      <c r="S242" s="19">
        <f>RANK(Rang!F17,Rang!A17:G17)</f>
        <v>1</v>
      </c>
      <c r="T242" s="20">
        <f>RANK(Rang!M17,Rang!H17:N17)</f>
        <v>1</v>
      </c>
      <c r="U242" s="19">
        <f>RANK(Rang!G17,Rang!A17:G17)</f>
        <v>1</v>
      </c>
      <c r="V242" s="20">
        <f>RANK(Rang!N17,Rang!H17:N17)</f>
        <v>1</v>
      </c>
      <c r="AF242" s="22"/>
      <c r="AG242" s="22"/>
      <c r="AH242" s="22"/>
      <c r="AI242" s="22"/>
      <c r="AJ242" s="22"/>
      <c r="AK242" s="21"/>
      <c r="AL242" s="21"/>
      <c r="AM242" s="21"/>
      <c r="AN242" s="21"/>
      <c r="AO242" s="21"/>
      <c r="AP242" s="21"/>
      <c r="AQ242" s="21"/>
      <c r="AR242" s="21"/>
      <c r="AS242" s="24"/>
      <c r="AT242" s="21"/>
      <c r="AU242" s="21"/>
      <c r="AV242" s="21"/>
      <c r="AW242" s="21"/>
      <c r="AX242" s="21"/>
      <c r="AY242" s="21"/>
      <c r="AZ242" s="21"/>
      <c r="BA242" s="21"/>
      <c r="BB242" s="21"/>
      <c r="BD242" s="25" t="s">
        <v>4</v>
      </c>
      <c r="BE242" s="25" t="s">
        <v>5</v>
      </c>
      <c r="BF242" s="26" t="s">
        <v>6</v>
      </c>
      <c r="BG242" s="27" t="s">
        <v>4</v>
      </c>
      <c r="BH242" s="25" t="s">
        <v>5</v>
      </c>
      <c r="BI242" s="26" t="s">
        <v>6</v>
      </c>
      <c r="BJ242" s="27" t="s">
        <v>4</v>
      </c>
      <c r="BK242" s="25" t="s">
        <v>5</v>
      </c>
      <c r="BL242" s="26" t="s">
        <v>6</v>
      </c>
      <c r="BM242" s="27" t="s">
        <v>4</v>
      </c>
      <c r="BN242" s="25" t="s">
        <v>5</v>
      </c>
      <c r="BO242" s="26" t="s">
        <v>6</v>
      </c>
      <c r="BP242" s="27" t="s">
        <v>4</v>
      </c>
      <c r="BQ242" s="25" t="s">
        <v>5</v>
      </c>
      <c r="BR242" s="26" t="s">
        <v>6</v>
      </c>
      <c r="BS242" s="27" t="s">
        <v>4</v>
      </c>
      <c r="BT242" s="25" t="s">
        <v>5</v>
      </c>
      <c r="BU242" s="26" t="s">
        <v>6</v>
      </c>
      <c r="BV242" s="27" t="s">
        <v>4</v>
      </c>
      <c r="BW242" s="25" t="s">
        <v>5</v>
      </c>
      <c r="BX242" s="26" t="s">
        <v>6</v>
      </c>
      <c r="BY242" s="27" t="s">
        <v>4</v>
      </c>
      <c r="BZ242" s="25" t="s">
        <v>5</v>
      </c>
      <c r="CA242" s="26" t="s">
        <v>6</v>
      </c>
      <c r="CB242" s="27" t="s">
        <v>4</v>
      </c>
      <c r="CC242" s="25" t="s">
        <v>5</v>
      </c>
      <c r="CD242" s="26" t="s">
        <v>6</v>
      </c>
      <c r="CE242" s="27" t="s">
        <v>4</v>
      </c>
      <c r="CF242" s="25" t="s">
        <v>5</v>
      </c>
      <c r="CG242" s="26" t="s">
        <v>6</v>
      </c>
      <c r="CH242" s="27" t="s">
        <v>4</v>
      </c>
      <c r="CI242" s="25" t="s">
        <v>5</v>
      </c>
      <c r="CJ242" s="26" t="s">
        <v>6</v>
      </c>
      <c r="CK242" s="27" t="s">
        <v>4</v>
      </c>
      <c r="CL242" s="25" t="s">
        <v>5</v>
      </c>
      <c r="CM242" s="26" t="s">
        <v>6</v>
      </c>
      <c r="CN242" s="27" t="s">
        <v>4</v>
      </c>
      <c r="CO242" s="25" t="s">
        <v>5</v>
      </c>
      <c r="CP242" s="26" t="s">
        <v>6</v>
      </c>
      <c r="CQ242" s="27" t="s">
        <v>4</v>
      </c>
      <c r="CR242" s="25" t="s">
        <v>5</v>
      </c>
      <c r="CS242" s="26" t="s">
        <v>6</v>
      </c>
      <c r="CT242" s="27" t="s">
        <v>4</v>
      </c>
      <c r="CU242" s="25" t="s">
        <v>5</v>
      </c>
      <c r="CV242" s="26" t="s">
        <v>6</v>
      </c>
      <c r="CW242" s="27" t="s">
        <v>4</v>
      </c>
      <c r="CX242" s="25" t="s">
        <v>5</v>
      </c>
      <c r="CY242" s="26" t="s">
        <v>6</v>
      </c>
      <c r="CZ242" s="27" t="s">
        <v>4</v>
      </c>
      <c r="DA242" s="25" t="s">
        <v>5</v>
      </c>
      <c r="DB242" s="26" t="s">
        <v>6</v>
      </c>
      <c r="DC242" s="27" t="s">
        <v>4</v>
      </c>
      <c r="DD242" s="25" t="s">
        <v>5</v>
      </c>
      <c r="DE242" s="26" t="s">
        <v>6</v>
      </c>
      <c r="DF242" s="21"/>
      <c r="DG242" s="21"/>
      <c r="DH242" s="21"/>
      <c r="DN242" s="136" t="s">
        <v>7</v>
      </c>
      <c r="DO242" s="136"/>
      <c r="DP242" s="136" t="s">
        <v>8</v>
      </c>
      <c r="DQ242" s="136"/>
      <c r="DR242" s="28"/>
    </row>
    <row r="243" spans="3:122" ht="11.25" customHeight="1" x14ac:dyDescent="0.2">
      <c r="C243" s="2" t="str">
        <f>ß16</f>
        <v>Dortmund</v>
      </c>
      <c r="D243" s="3" t="s">
        <v>11</v>
      </c>
      <c r="E243" s="2" t="str">
        <f>ß06</f>
        <v>Werder</v>
      </c>
      <c r="F243" s="29"/>
      <c r="G243" s="3" t="s">
        <v>12</v>
      </c>
      <c r="H243" s="30"/>
      <c r="I243" s="31"/>
      <c r="J243" s="32" t="str">
        <f t="shared" ref="J243:J251" si="229">IF($F243="","",(IF(I243="","",IF(I243=$DG243,(VLOOKUP($DH243,$DJ$3:$DK$11,2,FALSE())),0))))</f>
        <v/>
      </c>
      <c r="K243" s="31"/>
      <c r="L243" s="32" t="str">
        <f t="shared" ref="L243:L251" si="230">IF($F243="","",(IF(K243="","",IF(K243=$DG243,(VLOOKUP($DH243,$DJ$3:$DK$11,2,FALSE())),0))))</f>
        <v/>
      </c>
      <c r="M243" s="31"/>
      <c r="N243" s="32" t="str">
        <f t="shared" ref="N243:N251" si="231">IF($F243="","",(IF(M243="","",IF(M243=$DG243,(VLOOKUP($DH243,$DJ$3:$DK$11,2,FALSE())),0))))</f>
        <v/>
      </c>
      <c r="O243" s="31"/>
      <c r="P243" s="32" t="str">
        <f t="shared" ref="P243:P251" si="232">IF($F243="","",(IF(O243="","",IF(O243=$DG243,(VLOOKUP($DH243,$DJ$3:$DK$11,2,FALSE())),0))))</f>
        <v/>
      </c>
      <c r="Q243" s="31"/>
      <c r="R243" s="32" t="str">
        <f t="shared" ref="R243:R251" si="233">IF($F243="","",(IF(Q243="","",IF(Q243=$DG243,(VLOOKUP($DH243,$DJ$3:$DK$11,2,FALSE())),0))))</f>
        <v/>
      </c>
      <c r="S243" s="31"/>
      <c r="T243" s="32" t="str">
        <f t="shared" ref="T243:T251" si="234">IF($F243="","",(IF(S243="","",IF(S243=$DG243,(VLOOKUP($DH243,$DJ$3:$DK$11,2,FALSE())),0))))</f>
        <v/>
      </c>
      <c r="U243" s="31"/>
      <c r="V243" s="32" t="str">
        <f t="shared" ref="V243:V251" si="235">IF($F243="","",(IF(U243="","",IF(U243=$DG243,(VLOOKUP($DH243,$DJ$3:$DK$11,2,FALSE())),0))))</f>
        <v/>
      </c>
      <c r="AF243" s="34"/>
      <c r="AG243" s="34"/>
      <c r="AH243" s="34"/>
      <c r="AI243" s="34"/>
      <c r="AJ243" s="34"/>
      <c r="AN243" s="5"/>
      <c r="AO243" s="5"/>
      <c r="AP243" s="5"/>
      <c r="AQ243" s="5"/>
      <c r="AR243" s="5"/>
      <c r="AS243" s="13"/>
      <c r="AT243" s="5"/>
      <c r="AU243" s="5"/>
      <c r="AV243" s="5"/>
      <c r="AW243" s="5"/>
      <c r="AX243" s="5"/>
      <c r="AY243" s="5"/>
      <c r="BC243" s="6">
        <v>242</v>
      </c>
      <c r="BD243" s="35" t="str">
        <f>IF(ISERROR(MATCH(ß01,$C243:$C251,0)),"",MATCH(ß01,$C243:$C251,0))</f>
        <v/>
      </c>
      <c r="BE243" s="35">
        <f>IF(ISERROR(MATCH(ß01,$E243:$E251,0)),"",MATCH(ß01,$E243:$E251,0))</f>
        <v>8</v>
      </c>
      <c r="BF243" s="15">
        <f>SUM(BD243:BE243)+BC243</f>
        <v>250</v>
      </c>
      <c r="BG243" s="36">
        <f>IF(ISERROR(MATCH(ß02,$C243:$C251,0)),"",MATCH(ß02,$C243:$C251,0))</f>
        <v>3</v>
      </c>
      <c r="BH243" s="35" t="str">
        <f>IF(ISERROR(MATCH(ß02,$E243:$E251,0)),"",MATCH(ß02,$E243:$E251,0))</f>
        <v/>
      </c>
      <c r="BI243" s="15">
        <f>SUM(BG243:BH243)+BC243</f>
        <v>245</v>
      </c>
      <c r="BJ243" s="36" t="str">
        <f>IF(ISERROR(MATCH(ß03,$C243:$C251,0)),"",MATCH(ß03,$C243:$C251,0))</f>
        <v/>
      </c>
      <c r="BK243" s="35">
        <f>IF(ISERROR(MATCH(ß03,$E243:$E251,0)),"",MATCH(ß03,$E243:$E251,0))</f>
        <v>9</v>
      </c>
      <c r="BL243" s="15">
        <f>SUM(BJ243:BK243)+BC243</f>
        <v>251</v>
      </c>
      <c r="BM243" s="36">
        <f>IF(ISERROR(MATCH(ß04,$C243:$C251,0)),"",MATCH(ß04,$C243:$C251,0))</f>
        <v>7</v>
      </c>
      <c r="BN243" s="35" t="str">
        <f>IF(ISERROR(MATCH(ß04,$E243:$E251,0)),"",MATCH(ß04,$E243:$E251,0))</f>
        <v/>
      </c>
      <c r="BO243" s="15">
        <f>SUM(BM243:BN243)+BC243</f>
        <v>249</v>
      </c>
      <c r="BP243" s="36" t="str">
        <f>IF(ISERROR(MATCH(ß05,$C243:$C251,0)),"",MATCH(ß05,$C243:$C251,0))</f>
        <v/>
      </c>
      <c r="BQ243" s="35">
        <f>IF(ISERROR(MATCH(ß05,$E243:$E251,0)),"",MATCH(ß05,$E243:$E251,0))</f>
        <v>4</v>
      </c>
      <c r="BR243" s="15">
        <f>SUM(BP243:BQ243)+BC243</f>
        <v>246</v>
      </c>
      <c r="BS243" s="36" t="str">
        <f>IF(ISERROR(MATCH(ß06,$C243:$C251,0)),"",MATCH(ß06,$C243:$C251,0))</f>
        <v/>
      </c>
      <c r="BT243" s="35">
        <f>IF(ISERROR(MATCH(ß06,$E243:$E251,0)),"",MATCH(ß06,$E243:$E251,0))</f>
        <v>1</v>
      </c>
      <c r="BU243" s="15">
        <f>SUM(BS243:BT243)+BC243</f>
        <v>243</v>
      </c>
      <c r="BV243" s="36" t="str">
        <f>IF(ISERROR(MATCH(ß07,$C243:$C251,0)),"",MATCH(ß07,$C243:$C251,0))</f>
        <v/>
      </c>
      <c r="BW243" s="35">
        <f>IF(ISERROR(MATCH(ß07,$E243:$E251,0)),"",MATCH(ß07,$E243:$E251,0))</f>
        <v>3</v>
      </c>
      <c r="BX243" s="15">
        <f>SUM(BV243:BW243)+BC243</f>
        <v>245</v>
      </c>
      <c r="BY243" s="36">
        <f>IF(ISERROR(MATCH(ß08,$C243:$C251,0)),"",MATCH(ß08,$C243:$C251,0))</f>
        <v>6</v>
      </c>
      <c r="BZ243" s="35" t="str">
        <f>IF(ISERROR(MATCH(ß08,$E243:$E251,0)),"",MATCH(ß08,$E243:$E251,0))</f>
        <v/>
      </c>
      <c r="CA243" s="15">
        <f>SUM(BY243:BZ243)+BC243</f>
        <v>248</v>
      </c>
      <c r="CB243" s="36">
        <f>IF(ISERROR(MATCH(ß09,$C243:$C251,0)),"",MATCH(ß09,$C243:$C251,0))</f>
        <v>2</v>
      </c>
      <c r="CC243" s="35" t="str">
        <f>IF(ISERROR(MATCH(ß09,$E243:$E251,0)),"",MATCH(ß09,$E243:$E251,0))</f>
        <v/>
      </c>
      <c r="CD243" s="15">
        <f>SUM(CB243:CC243)+BC243</f>
        <v>244</v>
      </c>
      <c r="CE243" s="36">
        <f>IF(ISERROR(MATCH(ß10,$C243:$C251,0)),"",MATCH(ß10,$C243:$C251,0))</f>
        <v>8</v>
      </c>
      <c r="CF243" s="35" t="str">
        <f>IF(ISERROR(MATCH(ß10,$E243:$E251,0)),"",MATCH(ß10,$E243:$E251,0))</f>
        <v/>
      </c>
      <c r="CG243" s="15">
        <f>SUM(CE243:CF243)+BC243</f>
        <v>250</v>
      </c>
      <c r="CH243" s="36" t="str">
        <f>IF(ISERROR(MATCH(ß11,$C243:$C251,0)),"",MATCH(ß11,$C243:$C251,0))</f>
        <v/>
      </c>
      <c r="CI243" s="35">
        <f>IF(ISERROR(MATCH(ß11,$E243:$E251,0)),"",MATCH(ß11,$E243:$E251,0))</f>
        <v>7</v>
      </c>
      <c r="CJ243" s="15">
        <f>SUM(CH243:CI243)+BC243</f>
        <v>249</v>
      </c>
      <c r="CK243" s="36">
        <f>IF(ISERROR(MATCH(ß12,$C243:$C251,0)),"",MATCH(ß12,$C243:$C251,0))</f>
        <v>9</v>
      </c>
      <c r="CL243" s="35" t="str">
        <f>IF(ISERROR(MATCH(ß12,$E243:$E251,0)),"",MATCH(ß12,$E243:$E251,0))</f>
        <v/>
      </c>
      <c r="CM243" s="15">
        <f>SUM(CK243:CL243)+BC243</f>
        <v>251</v>
      </c>
      <c r="CN243" s="36" t="str">
        <f>IF(ISERROR(MATCH(ß13,$C243:$C251,0)),"",MATCH(ß13,$C243:$C251,0))</f>
        <v/>
      </c>
      <c r="CO243" s="35">
        <f>IF(ISERROR(MATCH(ß13,$E243:$E251,0)),"",MATCH(ß13,$E243:$E251,0))</f>
        <v>6</v>
      </c>
      <c r="CP243" s="15">
        <f>SUM(CN243:CO243)+BC243</f>
        <v>248</v>
      </c>
      <c r="CQ243" s="36">
        <f>IF(ISERROR(MATCH(ß14,$C243:$C251,0)),"",MATCH(ß14,$C243:$C251,0))</f>
        <v>4</v>
      </c>
      <c r="CR243" s="35" t="str">
        <f>IF(ISERROR(MATCH(ß14,$E243:$E251,0)),"",MATCH(ß14,$E243:$E251,0))</f>
        <v/>
      </c>
      <c r="CS243" s="15">
        <f>SUM(CQ243:CR243)+BC243</f>
        <v>246</v>
      </c>
      <c r="CT243" s="36" t="str">
        <f>IF(ISERROR(MATCH(ß15,$C243:$C251,0)),"",MATCH(ß15,$C243:$C251,0))</f>
        <v/>
      </c>
      <c r="CU243" s="35">
        <f>IF(ISERROR(MATCH(ß15,$E243:$E251,0)),"",MATCH(ß15,$E243:$E251,0))</f>
        <v>5</v>
      </c>
      <c r="CV243" s="15">
        <f>SUM(CT243:CU243)+BC243</f>
        <v>247</v>
      </c>
      <c r="CW243" s="36">
        <f>IF(ISERROR(MATCH(ß16,$C243:$C251,0)),"",MATCH(ß16,$C243:$C251,0))</f>
        <v>1</v>
      </c>
      <c r="CX243" s="35" t="str">
        <f>IF(ISERROR(MATCH(ß16,$E243:$E251,0)),"",MATCH(ß16,$E243:$E251,0))</f>
        <v/>
      </c>
      <c r="CY243" s="15">
        <f>SUM(CW243:CX243)+BC243</f>
        <v>243</v>
      </c>
      <c r="CZ243" s="36" t="str">
        <f>IF(ISERROR(MATCH(ß17,$C243:$C251,0)),"",MATCH(ß17,$C243:$C251,0))</f>
        <v/>
      </c>
      <c r="DA243" s="35">
        <f>IF(ISERROR(MATCH(ß17,$E243:$E251,0)),"",MATCH(ß17,$E243:$E251,0))</f>
        <v>2</v>
      </c>
      <c r="DB243" s="15">
        <f>SUM(CZ243:DA243)+BC243</f>
        <v>244</v>
      </c>
      <c r="DC243" s="36">
        <f>IF(ISERROR(MATCH(ß18,$C243:$C251,0)),"",MATCH(ß18,$C243:$C251,0))</f>
        <v>5</v>
      </c>
      <c r="DD243" s="35" t="str">
        <f>IF(ISERROR(MATCH(ß18,$E243:$E251,0)),"",MATCH(ß18,$E243:$E251,0))</f>
        <v/>
      </c>
      <c r="DE243" s="15">
        <f>SUM(DC243:DD243)+BC243</f>
        <v>247</v>
      </c>
      <c r="DG243" s="8" t="str">
        <f t="shared" ref="DG243:DG251" si="236">IF(F243="","",(IF(F243=H243,0,IF(F243&gt;H243,1,IF(F243&lt;H243,2)))))</f>
        <v/>
      </c>
      <c r="DH243" s="3">
        <f>COUNTIF(I243,DG243)+COUNTIF(K243,DG243)+COUNTIF(M243,DG243)+COUNTIF(O243,DG243)+COUNTIF(Q243,DG243)+COUNTIF(S243,DG243)+COUNTIF(U243,DG243)</f>
        <v>7</v>
      </c>
      <c r="DN243" s="12">
        <f t="shared" ref="DN243:DN251" si="237">F243</f>
        <v>0</v>
      </c>
      <c r="DO243" s="5">
        <f t="shared" ref="DO243:DO251" si="238">H243</f>
        <v>0</v>
      </c>
      <c r="DP243" s="5" t="str">
        <f t="shared" ref="DP243:DP251" si="239">IF($F243="","",IF(DN243&gt;DO243,3,IF(DN243&lt;DO243,0,1)))</f>
        <v/>
      </c>
      <c r="DQ243" s="5" t="str">
        <f t="shared" ref="DQ243:DQ251" si="240">IF($H243="","",IF(DO243&gt;DN243,3,IF(DO243&lt;DN243,0,1)))</f>
        <v/>
      </c>
      <c r="DR243" s="5">
        <f t="shared" ref="DR243:DR251" si="241">IF(ISBLANK(F243),0,1)</f>
        <v>0</v>
      </c>
    </row>
    <row r="244" spans="3:122" ht="11.25" customHeight="1" x14ac:dyDescent="0.2">
      <c r="C244" s="2" t="str">
        <f>ß09</f>
        <v>Mainz</v>
      </c>
      <c r="D244" s="3" t="s">
        <v>11</v>
      </c>
      <c r="E244" s="2" t="str">
        <f>ß17</f>
        <v>Heidenheim</v>
      </c>
      <c r="F244" s="29"/>
      <c r="G244" s="3" t="s">
        <v>12</v>
      </c>
      <c r="H244" s="30"/>
      <c r="I244" s="37"/>
      <c r="J244" s="38" t="str">
        <f t="shared" si="229"/>
        <v/>
      </c>
      <c r="K244" s="37"/>
      <c r="L244" s="38" t="str">
        <f t="shared" si="230"/>
        <v/>
      </c>
      <c r="M244" s="37"/>
      <c r="N244" s="38" t="str">
        <f t="shared" si="231"/>
        <v/>
      </c>
      <c r="O244" s="37"/>
      <c r="P244" s="38" t="str">
        <f t="shared" si="232"/>
        <v/>
      </c>
      <c r="Q244" s="37"/>
      <c r="R244" s="38" t="str">
        <f t="shared" si="233"/>
        <v/>
      </c>
      <c r="S244" s="37"/>
      <c r="T244" s="38" t="str">
        <f t="shared" si="234"/>
        <v/>
      </c>
      <c r="U244" s="37"/>
      <c r="V244" s="38" t="str">
        <f t="shared" si="235"/>
        <v/>
      </c>
      <c r="AF244" s="34"/>
      <c r="AG244" s="34"/>
      <c r="AH244" s="34"/>
      <c r="AI244" s="34"/>
      <c r="AJ244" s="34"/>
      <c r="DG244" s="8" t="str">
        <f t="shared" si="236"/>
        <v/>
      </c>
      <c r="DH244" s="3">
        <f t="shared" ref="DH244:DH251" si="242">COUNTIF(I244,DG244)+COUNTIF(K244,DG244)+COUNTIF(M244,DG244)+COUNTIF(O244,DG244)+COUNTIF(Q244,DG244)+COUNTIF(S244,DG244)+COUNTIF(U244,DG244)</f>
        <v>7</v>
      </c>
      <c r="DN244" s="12">
        <f t="shared" si="237"/>
        <v>0</v>
      </c>
      <c r="DO244" s="5">
        <f t="shared" si="238"/>
        <v>0</v>
      </c>
      <c r="DP244" s="5" t="str">
        <f t="shared" si="239"/>
        <v/>
      </c>
      <c r="DQ244" s="5" t="str">
        <f t="shared" si="240"/>
        <v/>
      </c>
      <c r="DR244" s="5">
        <f t="shared" si="241"/>
        <v>0</v>
      </c>
    </row>
    <row r="245" spans="3:122" ht="11.25" customHeight="1" x14ac:dyDescent="0.2">
      <c r="C245" s="2" t="str">
        <f>ß02</f>
        <v>Leipzig</v>
      </c>
      <c r="D245" s="3" t="s">
        <v>11</v>
      </c>
      <c r="E245" s="2" t="str">
        <f>ß07</f>
        <v>Freiburg</v>
      </c>
      <c r="F245" s="29"/>
      <c r="G245" s="3" t="s">
        <v>12</v>
      </c>
      <c r="H245" s="30"/>
      <c r="I245" s="37"/>
      <c r="J245" s="38" t="str">
        <f t="shared" si="229"/>
        <v/>
      </c>
      <c r="K245" s="37"/>
      <c r="L245" s="38" t="str">
        <f t="shared" si="230"/>
        <v/>
      </c>
      <c r="M245" s="37"/>
      <c r="N245" s="38" t="str">
        <f t="shared" si="231"/>
        <v/>
      </c>
      <c r="O245" s="37"/>
      <c r="P245" s="38" t="str">
        <f t="shared" si="232"/>
        <v/>
      </c>
      <c r="Q245" s="37"/>
      <c r="R245" s="38" t="str">
        <f t="shared" si="233"/>
        <v/>
      </c>
      <c r="S245" s="37"/>
      <c r="T245" s="38" t="str">
        <f t="shared" si="234"/>
        <v/>
      </c>
      <c r="U245" s="37"/>
      <c r="V245" s="38" t="str">
        <f t="shared" si="235"/>
        <v/>
      </c>
      <c r="AF245" s="34"/>
      <c r="AG245" s="34"/>
      <c r="AH245" s="34"/>
      <c r="AI245" s="34"/>
      <c r="AJ245" s="34"/>
      <c r="DG245" s="8" t="str">
        <f t="shared" si="236"/>
        <v/>
      </c>
      <c r="DH245" s="3">
        <f t="shared" si="242"/>
        <v>7</v>
      </c>
      <c r="DN245" s="12">
        <f t="shared" si="237"/>
        <v>0</v>
      </c>
      <c r="DO245" s="5">
        <f t="shared" si="238"/>
        <v>0</v>
      </c>
      <c r="DP245" s="5" t="str">
        <f t="shared" si="239"/>
        <v/>
      </c>
      <c r="DQ245" s="5" t="str">
        <f t="shared" si="240"/>
        <v/>
      </c>
      <c r="DR245" s="5">
        <f t="shared" si="241"/>
        <v>0</v>
      </c>
    </row>
    <row r="246" spans="3:122" ht="11.25" customHeight="1" x14ac:dyDescent="0.2">
      <c r="C246" s="2" t="str">
        <f>ß14</f>
        <v>Stuttgart</v>
      </c>
      <c r="D246" s="3" t="s">
        <v>11</v>
      </c>
      <c r="E246" s="2" t="str">
        <f>ß05</f>
        <v>Frankfurt</v>
      </c>
      <c r="F246" s="29"/>
      <c r="G246" s="3" t="s">
        <v>12</v>
      </c>
      <c r="H246" s="30"/>
      <c r="I246" s="37"/>
      <c r="J246" s="38" t="str">
        <f t="shared" si="229"/>
        <v/>
      </c>
      <c r="K246" s="37"/>
      <c r="L246" s="38" t="str">
        <f t="shared" si="230"/>
        <v/>
      </c>
      <c r="M246" s="37"/>
      <c r="N246" s="38" t="str">
        <f t="shared" si="231"/>
        <v/>
      </c>
      <c r="O246" s="37"/>
      <c r="P246" s="38" t="str">
        <f t="shared" si="232"/>
        <v/>
      </c>
      <c r="Q246" s="37"/>
      <c r="R246" s="38" t="str">
        <f t="shared" si="233"/>
        <v/>
      </c>
      <c r="S246" s="37"/>
      <c r="T246" s="38" t="str">
        <f t="shared" si="234"/>
        <v/>
      </c>
      <c r="U246" s="37"/>
      <c r="V246" s="38" t="str">
        <f t="shared" si="235"/>
        <v/>
      </c>
      <c r="AF246" s="34"/>
      <c r="AG246" s="34"/>
      <c r="AH246" s="34"/>
      <c r="AI246" s="34"/>
      <c r="AJ246" s="34"/>
      <c r="DG246" s="8" t="str">
        <f t="shared" si="236"/>
        <v/>
      </c>
      <c r="DH246" s="3">
        <f t="shared" si="242"/>
        <v>7</v>
      </c>
      <c r="DN246" s="12">
        <f t="shared" si="237"/>
        <v>0</v>
      </c>
      <c r="DO246" s="5">
        <f t="shared" si="238"/>
        <v>0</v>
      </c>
      <c r="DP246" s="5" t="str">
        <f t="shared" si="239"/>
        <v/>
      </c>
      <c r="DQ246" s="5" t="str">
        <f t="shared" si="240"/>
        <v/>
      </c>
      <c r="DR246" s="5">
        <f t="shared" si="241"/>
        <v>0</v>
      </c>
    </row>
    <row r="247" spans="3:122" ht="11.25" customHeight="1" x14ac:dyDescent="0.2">
      <c r="C247" s="2" t="str">
        <f>ß18</f>
        <v>Wolfsburg</v>
      </c>
      <c r="D247" s="3" t="s">
        <v>11</v>
      </c>
      <c r="E247" s="2" t="str">
        <f>ß15</f>
        <v>St. Pauli</v>
      </c>
      <c r="F247" s="29"/>
      <c r="G247" s="3" t="s">
        <v>12</v>
      </c>
      <c r="H247" s="30"/>
      <c r="I247" s="37"/>
      <c r="J247" s="38" t="str">
        <f t="shared" si="229"/>
        <v/>
      </c>
      <c r="K247" s="37"/>
      <c r="L247" s="38" t="str">
        <f t="shared" si="230"/>
        <v/>
      </c>
      <c r="M247" s="37"/>
      <c r="N247" s="38" t="str">
        <f t="shared" si="231"/>
        <v/>
      </c>
      <c r="O247" s="37"/>
      <c r="P247" s="38" t="str">
        <f t="shared" si="232"/>
        <v/>
      </c>
      <c r="Q247" s="37"/>
      <c r="R247" s="38" t="str">
        <f t="shared" si="233"/>
        <v/>
      </c>
      <c r="S247" s="37"/>
      <c r="T247" s="38" t="str">
        <f t="shared" si="234"/>
        <v/>
      </c>
      <c r="U247" s="37"/>
      <c r="V247" s="38" t="str">
        <f t="shared" si="235"/>
        <v/>
      </c>
      <c r="AF247" s="34"/>
      <c r="AG247" s="34"/>
      <c r="AH247" s="34"/>
      <c r="AI247" s="34"/>
      <c r="AJ247" s="34"/>
      <c r="DG247" s="8" t="str">
        <f t="shared" si="236"/>
        <v/>
      </c>
      <c r="DH247" s="3">
        <f t="shared" si="242"/>
        <v>7</v>
      </c>
      <c r="DN247" s="12">
        <f t="shared" si="237"/>
        <v>0</v>
      </c>
      <c r="DO247" s="5">
        <f t="shared" si="238"/>
        <v>0</v>
      </c>
      <c r="DP247" s="5" t="str">
        <f t="shared" si="239"/>
        <v/>
      </c>
      <c r="DQ247" s="5" t="str">
        <f t="shared" si="240"/>
        <v/>
      </c>
      <c r="DR247" s="5">
        <f t="shared" si="241"/>
        <v>0</v>
      </c>
    </row>
    <row r="248" spans="3:122" ht="11.25" customHeight="1" x14ac:dyDescent="0.2">
      <c r="C248" s="2" t="str">
        <f>ß08</f>
        <v>Augsburg</v>
      </c>
      <c r="D248" s="3" t="s">
        <v>11</v>
      </c>
      <c r="E248" s="2" t="str">
        <f>ß13</f>
        <v>Union</v>
      </c>
      <c r="F248" s="29"/>
      <c r="G248" s="3" t="s">
        <v>12</v>
      </c>
      <c r="H248" s="30"/>
      <c r="I248" s="37"/>
      <c r="J248" s="38" t="str">
        <f t="shared" si="229"/>
        <v/>
      </c>
      <c r="K248" s="37"/>
      <c r="L248" s="38" t="str">
        <f t="shared" si="230"/>
        <v/>
      </c>
      <c r="M248" s="37"/>
      <c r="N248" s="38" t="str">
        <f t="shared" si="231"/>
        <v/>
      </c>
      <c r="O248" s="37"/>
      <c r="P248" s="38" t="str">
        <f t="shared" si="232"/>
        <v/>
      </c>
      <c r="Q248" s="37"/>
      <c r="R248" s="38" t="str">
        <f t="shared" si="233"/>
        <v/>
      </c>
      <c r="S248" s="37"/>
      <c r="T248" s="38" t="str">
        <f t="shared" si="234"/>
        <v/>
      </c>
      <c r="U248" s="37"/>
      <c r="V248" s="38" t="str">
        <f t="shared" si="235"/>
        <v/>
      </c>
      <c r="AF248" s="34"/>
      <c r="AG248" s="34"/>
      <c r="AH248" s="34"/>
      <c r="AI248" s="34"/>
      <c r="AJ248" s="34"/>
      <c r="DG248" s="8" t="str">
        <f t="shared" si="236"/>
        <v/>
      </c>
      <c r="DH248" s="3">
        <f t="shared" si="242"/>
        <v>7</v>
      </c>
      <c r="DN248" s="12">
        <f t="shared" si="237"/>
        <v>0</v>
      </c>
      <c r="DO248" s="5">
        <f t="shared" si="238"/>
        <v>0</v>
      </c>
      <c r="DP248" s="5" t="str">
        <f t="shared" si="239"/>
        <v/>
      </c>
      <c r="DQ248" s="5" t="str">
        <f t="shared" si="240"/>
        <v/>
      </c>
      <c r="DR248" s="5">
        <f t="shared" si="241"/>
        <v>0</v>
      </c>
    </row>
    <row r="249" spans="3:122" ht="11.25" customHeight="1" x14ac:dyDescent="0.2">
      <c r="C249" s="2" t="str">
        <f>ß04</f>
        <v>Hoffenheim</v>
      </c>
      <c r="D249" s="3" t="s">
        <v>11</v>
      </c>
      <c r="E249" s="2" t="str">
        <f>ß11</f>
        <v>M'gladb.</v>
      </c>
      <c r="F249" s="29"/>
      <c r="G249" s="3" t="s">
        <v>12</v>
      </c>
      <c r="H249" s="30"/>
      <c r="I249" s="37"/>
      <c r="J249" s="38" t="str">
        <f t="shared" si="229"/>
        <v/>
      </c>
      <c r="K249" s="37"/>
      <c r="L249" s="38" t="str">
        <f t="shared" si="230"/>
        <v/>
      </c>
      <c r="M249" s="37"/>
      <c r="N249" s="38" t="str">
        <f t="shared" si="231"/>
        <v/>
      </c>
      <c r="O249" s="37"/>
      <c r="P249" s="38" t="str">
        <f t="shared" si="232"/>
        <v/>
      </c>
      <c r="Q249" s="37"/>
      <c r="R249" s="38" t="str">
        <f t="shared" si="233"/>
        <v/>
      </c>
      <c r="S249" s="37"/>
      <c r="T249" s="38" t="str">
        <f t="shared" si="234"/>
        <v/>
      </c>
      <c r="U249" s="37"/>
      <c r="V249" s="38" t="str">
        <f t="shared" si="235"/>
        <v/>
      </c>
      <c r="AF249" s="34"/>
      <c r="AG249" s="34"/>
      <c r="AH249" s="34"/>
      <c r="AI249" s="34"/>
      <c r="AJ249" s="34"/>
      <c r="DG249" s="8" t="str">
        <f t="shared" si="236"/>
        <v/>
      </c>
      <c r="DH249" s="3">
        <f t="shared" si="242"/>
        <v>7</v>
      </c>
      <c r="DN249" s="12">
        <f t="shared" si="237"/>
        <v>0</v>
      </c>
      <c r="DO249" s="5">
        <f t="shared" si="238"/>
        <v>0</v>
      </c>
      <c r="DP249" s="5" t="str">
        <f t="shared" si="239"/>
        <v/>
      </c>
      <c r="DQ249" s="5" t="str">
        <f t="shared" si="240"/>
        <v/>
      </c>
      <c r="DR249" s="5">
        <f t="shared" si="241"/>
        <v>0</v>
      </c>
    </row>
    <row r="250" spans="3:122" ht="11.25" customHeight="1" x14ac:dyDescent="0.2">
      <c r="C250" s="2" t="str">
        <f>ß10</f>
        <v>Köln</v>
      </c>
      <c r="D250" s="3" t="s">
        <v>11</v>
      </c>
      <c r="E250" s="2" t="str">
        <f>ß01</f>
        <v>Bayern</v>
      </c>
      <c r="F250" s="29"/>
      <c r="G250" s="3" t="s">
        <v>12</v>
      </c>
      <c r="H250" s="30"/>
      <c r="I250" s="37"/>
      <c r="J250" s="38" t="str">
        <f t="shared" si="229"/>
        <v/>
      </c>
      <c r="K250" s="37"/>
      <c r="L250" s="38" t="str">
        <f t="shared" si="230"/>
        <v/>
      </c>
      <c r="M250" s="37"/>
      <c r="N250" s="38" t="str">
        <f t="shared" si="231"/>
        <v/>
      </c>
      <c r="O250" s="37"/>
      <c r="P250" s="38" t="str">
        <f t="shared" si="232"/>
        <v/>
      </c>
      <c r="Q250" s="37"/>
      <c r="R250" s="38" t="str">
        <f t="shared" si="233"/>
        <v/>
      </c>
      <c r="S250" s="37"/>
      <c r="T250" s="38" t="str">
        <f t="shared" si="234"/>
        <v/>
      </c>
      <c r="U250" s="37"/>
      <c r="V250" s="38" t="str">
        <f t="shared" si="235"/>
        <v/>
      </c>
      <c r="AF250" s="34"/>
      <c r="AG250" s="34"/>
      <c r="AH250" s="34"/>
      <c r="AI250" s="34"/>
      <c r="AJ250" s="34"/>
      <c r="DG250" s="8" t="str">
        <f t="shared" si="236"/>
        <v/>
      </c>
      <c r="DH250" s="3">
        <f t="shared" si="242"/>
        <v>7</v>
      </c>
      <c r="DN250" s="12">
        <f t="shared" si="237"/>
        <v>0</v>
      </c>
      <c r="DO250" s="5">
        <f t="shared" si="238"/>
        <v>0</v>
      </c>
      <c r="DP250" s="5" t="str">
        <f t="shared" si="239"/>
        <v/>
      </c>
      <c r="DQ250" s="5" t="str">
        <f t="shared" si="240"/>
        <v/>
      </c>
      <c r="DR250" s="5">
        <f t="shared" si="241"/>
        <v>0</v>
      </c>
    </row>
    <row r="251" spans="3:122" ht="11.25" customHeight="1" thickBot="1" x14ac:dyDescent="0.25">
      <c r="C251" s="2" t="str">
        <f>ß12</f>
        <v>HSV</v>
      </c>
      <c r="D251" s="3" t="s">
        <v>11</v>
      </c>
      <c r="E251" s="2" t="str">
        <f>ß03</f>
        <v>Leverk.</v>
      </c>
      <c r="F251" s="29"/>
      <c r="G251" s="3" t="s">
        <v>12</v>
      </c>
      <c r="H251" s="30"/>
      <c r="I251" s="37"/>
      <c r="J251" s="38" t="str">
        <f t="shared" si="229"/>
        <v/>
      </c>
      <c r="K251" s="37"/>
      <c r="L251" s="38" t="str">
        <f t="shared" si="230"/>
        <v/>
      </c>
      <c r="M251" s="37"/>
      <c r="N251" s="38" t="str">
        <f t="shared" si="231"/>
        <v/>
      </c>
      <c r="O251" s="37"/>
      <c r="P251" s="38" t="str">
        <f t="shared" si="232"/>
        <v/>
      </c>
      <c r="Q251" s="37"/>
      <c r="R251" s="38" t="str">
        <f t="shared" si="233"/>
        <v/>
      </c>
      <c r="S251" s="37"/>
      <c r="T251" s="38" t="str">
        <f t="shared" si="234"/>
        <v/>
      </c>
      <c r="U251" s="37"/>
      <c r="V251" s="38" t="str">
        <f t="shared" si="235"/>
        <v/>
      </c>
      <c r="AF251" s="34"/>
      <c r="AG251" s="34"/>
      <c r="AH251" s="34"/>
      <c r="AI251" s="34"/>
      <c r="AJ251" s="34"/>
      <c r="DG251" s="8" t="str">
        <f t="shared" si="236"/>
        <v/>
      </c>
      <c r="DH251" s="3">
        <f t="shared" si="242"/>
        <v>7</v>
      </c>
      <c r="DN251" s="12">
        <f t="shared" si="237"/>
        <v>0</v>
      </c>
      <c r="DO251" s="5">
        <f t="shared" si="238"/>
        <v>0</v>
      </c>
      <c r="DP251" s="5" t="str">
        <f t="shared" si="239"/>
        <v/>
      </c>
      <c r="DQ251" s="5" t="str">
        <f t="shared" si="240"/>
        <v/>
      </c>
      <c r="DR251" s="5">
        <f t="shared" si="241"/>
        <v>0</v>
      </c>
    </row>
    <row r="252" spans="3:122" ht="11.25" customHeight="1" thickTop="1" x14ac:dyDescent="0.2">
      <c r="C252" s="41">
        <f>(I252+K252+M252+O252+Q252+S252+U252)</f>
        <v>0</v>
      </c>
      <c r="E252" s="42">
        <f>C252/8</f>
        <v>0</v>
      </c>
      <c r="F252" s="41">
        <f>SUM(F243:F251)</f>
        <v>0</v>
      </c>
      <c r="G252" s="2"/>
      <c r="H252" s="43">
        <f>SUM(H243:H251)</f>
        <v>0</v>
      </c>
      <c r="I252" s="44">
        <f>COUNTIF(J243:J251,"&gt;0")</f>
        <v>0</v>
      </c>
      <c r="J252" s="45">
        <f>I252+J237</f>
        <v>0</v>
      </c>
      <c r="K252" s="44">
        <f>COUNTIF(L243:L251,"&gt;0")</f>
        <v>0</v>
      </c>
      <c r="L252" s="45">
        <f>K252+L237</f>
        <v>0</v>
      </c>
      <c r="M252" s="44">
        <f>COUNTIF(N243:N251,"&gt;0")</f>
        <v>0</v>
      </c>
      <c r="N252" s="45">
        <f>M252+N237</f>
        <v>0</v>
      </c>
      <c r="O252" s="44">
        <f>COUNTIF(P243:P251,"&gt;0")</f>
        <v>0</v>
      </c>
      <c r="P252" s="45">
        <f>O252+P237</f>
        <v>0</v>
      </c>
      <c r="Q252" s="44">
        <f>COUNTIF(R243:R251,"&gt;0")</f>
        <v>0</v>
      </c>
      <c r="R252" s="45">
        <f>Q252+R237</f>
        <v>0</v>
      </c>
      <c r="S252" s="44">
        <f>COUNTIF(T243:T251,"&gt;0")</f>
        <v>0</v>
      </c>
      <c r="T252" s="45">
        <f>S252+T237</f>
        <v>0</v>
      </c>
      <c r="U252" s="44">
        <f>COUNTIF(V243:V251,"&gt;0")</f>
        <v>0</v>
      </c>
      <c r="V252" s="45">
        <f>U252+V237</f>
        <v>0</v>
      </c>
      <c r="AF252" s="34"/>
      <c r="AG252" s="34"/>
      <c r="AH252" s="34"/>
      <c r="AI252" s="34"/>
      <c r="AJ252" s="34"/>
      <c r="DN252" s="12"/>
    </row>
    <row r="253" spans="3:122" ht="11.25" customHeight="1" x14ac:dyDescent="0.2">
      <c r="C253" s="41">
        <f>(I253+K253+M253+O253+Q253+S253+U253)</f>
        <v>0</v>
      </c>
      <c r="E253" s="42">
        <f>C253/8</f>
        <v>0</v>
      </c>
      <c r="F253" s="137">
        <f>F252+H252</f>
        <v>0</v>
      </c>
      <c r="G253" s="137"/>
      <c r="H253" s="137"/>
      <c r="I253" s="46">
        <f>SUM(J243:J251)</f>
        <v>0</v>
      </c>
      <c r="J253" s="47">
        <f>I253+J238</f>
        <v>0</v>
      </c>
      <c r="K253" s="46">
        <f>SUM(L243:L251)</f>
        <v>0</v>
      </c>
      <c r="L253" s="47">
        <f>K253+L238</f>
        <v>0</v>
      </c>
      <c r="M253" s="46">
        <f>SUM(N243:N251)</f>
        <v>0</v>
      </c>
      <c r="N253" s="47">
        <f>M253+N238</f>
        <v>0</v>
      </c>
      <c r="O253" s="46">
        <f>SUM(P243:P251)</f>
        <v>0</v>
      </c>
      <c r="P253" s="47">
        <f>O253+P238</f>
        <v>0</v>
      </c>
      <c r="Q253" s="46">
        <f>SUM(R243:R251)</f>
        <v>0</v>
      </c>
      <c r="R253" s="47">
        <f>Q253+R238</f>
        <v>0</v>
      </c>
      <c r="S253" s="46">
        <f>SUM(T243:T251)</f>
        <v>0</v>
      </c>
      <c r="T253" s="47">
        <f>S253+T238</f>
        <v>0</v>
      </c>
      <c r="U253" s="46">
        <f>SUM(V243:V251)</f>
        <v>0</v>
      </c>
      <c r="V253" s="47">
        <f>U253+V238</f>
        <v>0</v>
      </c>
      <c r="AF253" s="34"/>
      <c r="AG253" s="34"/>
      <c r="AH253" s="34"/>
      <c r="AI253" s="34"/>
      <c r="AJ253" s="34"/>
      <c r="DN253" s="12"/>
    </row>
    <row r="254" spans="3:122" ht="11.25" customHeight="1" thickBot="1" x14ac:dyDescent="0.25">
      <c r="C254" s="41">
        <f>(I254+K254+M254+O254+Q254+S254+U254)</f>
        <v>0</v>
      </c>
      <c r="E254" s="42">
        <f>C254/8</f>
        <v>0</v>
      </c>
      <c r="F254" s="138">
        <f>F253+F239</f>
        <v>0</v>
      </c>
      <c r="G254" s="138"/>
      <c r="H254" s="138"/>
      <c r="I254" s="48">
        <f>I252*I253</f>
        <v>0</v>
      </c>
      <c r="J254" s="49">
        <f>I254+J239</f>
        <v>0</v>
      </c>
      <c r="K254" s="48">
        <f>K252*K253</f>
        <v>0</v>
      </c>
      <c r="L254" s="49">
        <f>K254+L239</f>
        <v>0</v>
      </c>
      <c r="M254" s="48">
        <f>M252*M253</f>
        <v>0</v>
      </c>
      <c r="N254" s="49">
        <f>M254+N239</f>
        <v>0</v>
      </c>
      <c r="O254" s="48">
        <f>O252*O253</f>
        <v>0</v>
      </c>
      <c r="P254" s="49">
        <f>O254+P239</f>
        <v>0</v>
      </c>
      <c r="Q254" s="48">
        <f>Q252*Q253</f>
        <v>0</v>
      </c>
      <c r="R254" s="49">
        <f>Q254+R239</f>
        <v>0</v>
      </c>
      <c r="S254" s="48">
        <f>S252*S253</f>
        <v>0</v>
      </c>
      <c r="T254" s="49">
        <f>S254+T239</f>
        <v>0</v>
      </c>
      <c r="U254" s="48">
        <f>U252*U253</f>
        <v>0</v>
      </c>
      <c r="V254" s="49">
        <f>U254+V239</f>
        <v>0</v>
      </c>
      <c r="AF254" s="34"/>
      <c r="AG254" s="34"/>
      <c r="AH254" s="34"/>
      <c r="AI254" s="34"/>
      <c r="AJ254" s="34"/>
      <c r="AL254" s="5">
        <f>MAX(I254,K254,M254,O254,Q254,S254,U254)</f>
        <v>0</v>
      </c>
      <c r="AM254" s="5">
        <f>MIN(I254,K254,M254,O254,Q254,S254,U254)</f>
        <v>0</v>
      </c>
      <c r="AN254" s="5"/>
      <c r="AO254" s="5"/>
      <c r="AP254" s="5"/>
      <c r="AQ254" s="5"/>
      <c r="AR254" s="5"/>
      <c r="AS254" s="13"/>
      <c r="AT254" s="5"/>
      <c r="AU254" s="5"/>
      <c r="AV254" s="5"/>
      <c r="AW254" s="5"/>
      <c r="AX254" s="5"/>
      <c r="AY254" s="5"/>
      <c r="AZ254" s="5"/>
      <c r="BA254" s="5"/>
      <c r="BB254" s="5"/>
      <c r="BD254" s="5"/>
      <c r="BE254" s="5"/>
      <c r="BF254" s="14"/>
      <c r="BG254" s="13"/>
      <c r="BH254" s="5"/>
      <c r="BI254" s="14"/>
      <c r="BJ254" s="13"/>
      <c r="BK254" s="5"/>
      <c r="BL254" s="14"/>
      <c r="BM254" s="13"/>
      <c r="BN254" s="5"/>
      <c r="BO254" s="14"/>
      <c r="BP254" s="13"/>
      <c r="BQ254" s="5"/>
      <c r="BR254" s="14"/>
      <c r="BS254" s="13"/>
      <c r="BT254" s="5"/>
      <c r="BU254" s="14"/>
      <c r="BV254" s="13"/>
      <c r="BW254" s="5"/>
      <c r="BX254" s="14"/>
      <c r="BY254" s="13"/>
      <c r="BZ254" s="5"/>
      <c r="CA254" s="14"/>
      <c r="CB254" s="13"/>
      <c r="CC254" s="5"/>
      <c r="CD254" s="14"/>
      <c r="CE254" s="13"/>
      <c r="CF254" s="5"/>
      <c r="CG254" s="14"/>
      <c r="CH254" s="13"/>
      <c r="CI254" s="5"/>
      <c r="CJ254" s="14"/>
      <c r="CK254" s="13"/>
      <c r="CL254" s="5"/>
      <c r="CM254" s="14"/>
      <c r="CN254" s="13"/>
      <c r="CO254" s="5"/>
      <c r="CP254" s="14"/>
      <c r="CQ254" s="13"/>
      <c r="CR254" s="5"/>
      <c r="CS254" s="14"/>
      <c r="CT254" s="13"/>
      <c r="CU254" s="5"/>
      <c r="CV254" s="14"/>
      <c r="CW254" s="13"/>
      <c r="CX254" s="5"/>
      <c r="CY254" s="14"/>
      <c r="CZ254" s="13"/>
      <c r="DA254" s="5"/>
      <c r="DB254" s="14"/>
      <c r="DC254" s="13"/>
      <c r="DD254" s="5"/>
      <c r="DE254" s="14"/>
      <c r="DF254" s="5"/>
      <c r="DG254" s="5"/>
      <c r="DH254" s="5"/>
      <c r="DN254" s="12"/>
    </row>
    <row r="255" spans="3:122" ht="11.25" customHeight="1" thickTop="1" x14ac:dyDescent="0.2">
      <c r="I255" s="50"/>
      <c r="J255" s="50">
        <f>L254-J254</f>
        <v>0</v>
      </c>
      <c r="K255" s="50"/>
      <c r="L255" s="50"/>
      <c r="M255" s="50"/>
      <c r="N255" s="50">
        <f>L254-N254</f>
        <v>0</v>
      </c>
      <c r="O255" s="50"/>
      <c r="P255" s="50">
        <f>L254-P254</f>
        <v>0</v>
      </c>
      <c r="Q255" s="50"/>
      <c r="R255" s="50">
        <f>L254-R254</f>
        <v>0</v>
      </c>
      <c r="S255" s="50"/>
      <c r="T255" s="50">
        <f>L254-T254</f>
        <v>0</v>
      </c>
      <c r="U255" s="50"/>
      <c r="V255" s="50">
        <f>L254-V254</f>
        <v>0</v>
      </c>
    </row>
    <row r="256" spans="3:122" ht="11.25" customHeight="1" x14ac:dyDescent="0.2">
      <c r="I256" s="139" t="str">
        <f>ß101</f>
        <v>Kropp</v>
      </c>
      <c r="J256" s="139"/>
      <c r="K256" s="139" t="str">
        <f>ß102</f>
        <v>Nörnberg</v>
      </c>
      <c r="L256" s="139"/>
      <c r="M256" s="139" t="str">
        <f>ß103</f>
        <v>Bübel</v>
      </c>
      <c r="N256" s="139"/>
      <c r="O256" s="139" t="str">
        <f>ß104</f>
        <v>Schwicht.</v>
      </c>
      <c r="P256" s="139"/>
      <c r="Q256" s="139" t="str">
        <f>ß105</f>
        <v>Rontzko.</v>
      </c>
      <c r="R256" s="139"/>
      <c r="S256" s="139" t="str">
        <f>ß106</f>
        <v>Hauschildt</v>
      </c>
      <c r="T256" s="139"/>
      <c r="U256" s="139" t="str">
        <f>ß107</f>
        <v>Zerres</v>
      </c>
      <c r="V256" s="139"/>
      <c r="AF256" s="11"/>
      <c r="AG256" s="11"/>
      <c r="AH256" s="11"/>
      <c r="AI256" s="11"/>
      <c r="AJ256" s="11"/>
      <c r="AL256" s="5" t="str">
        <f>IF($I269=$AL269,I256,"x")</f>
        <v>Kropp</v>
      </c>
      <c r="AM256" s="5" t="str">
        <f>IF($K269=$AL269,K256,"x")</f>
        <v>Nörnberg</v>
      </c>
      <c r="AN256" s="5" t="str">
        <f>IF($M269=$AL269,M256,"x")</f>
        <v>Bübel</v>
      </c>
      <c r="AO256" s="5" t="str">
        <f>IF($O269=$AL269,O256,"x")</f>
        <v>Schwicht.</v>
      </c>
      <c r="AP256" s="5" t="str">
        <f>IF($Q269=$AL269,Q256,"x")</f>
        <v>Rontzko.</v>
      </c>
      <c r="AQ256" s="5" t="str">
        <f>IF($S269=$AL269,S256,"x")</f>
        <v>Hauschildt</v>
      </c>
      <c r="AR256" s="5" t="str">
        <f>IF($U269=$AL269,U256,"x")</f>
        <v>Zerres</v>
      </c>
      <c r="AS256" s="13" t="str">
        <f>IF($I269=$AM269,I256,"x")</f>
        <v>Kropp</v>
      </c>
      <c r="AT256" s="5" t="str">
        <f>IF($K269=$AM269,K256,"x")</f>
        <v>Nörnberg</v>
      </c>
      <c r="AU256" s="5" t="str">
        <f>IF($M269=$AM269,M256,"x")</f>
        <v>Bübel</v>
      </c>
      <c r="AV256" s="5" t="str">
        <f>IF($O269=$AM269,O256,"x")</f>
        <v>Schwicht.</v>
      </c>
      <c r="AW256" s="5" t="str">
        <f>IF($Q269=$AM269,Q256,"x")</f>
        <v>Rontzko.</v>
      </c>
      <c r="AX256" s="5" t="str">
        <f>IF($S269=$AM269,S256,"x")</f>
        <v>Hauschildt</v>
      </c>
      <c r="AY256" s="5" t="str">
        <f>IF($U269=$AM269,U256,"x")</f>
        <v>Zerres</v>
      </c>
      <c r="BD256" s="140" t="str">
        <f>ß01</f>
        <v>Bayern</v>
      </c>
      <c r="BE256" s="140"/>
      <c r="BF256" s="140"/>
      <c r="BG256" s="141" t="str">
        <f>ß02</f>
        <v>Leipzig</v>
      </c>
      <c r="BH256" s="141"/>
      <c r="BI256" s="141"/>
      <c r="BJ256" s="141" t="str">
        <f>ß03</f>
        <v>Leverk.</v>
      </c>
      <c r="BK256" s="141"/>
      <c r="BL256" s="141"/>
      <c r="BM256" s="141" t="str">
        <f>ß04</f>
        <v>Hoffenheim</v>
      </c>
      <c r="BN256" s="141"/>
      <c r="BO256" s="141"/>
      <c r="BP256" s="141" t="str">
        <f>ß05</f>
        <v>Frankfurt</v>
      </c>
      <c r="BQ256" s="141"/>
      <c r="BR256" s="141"/>
      <c r="BS256" s="141" t="str">
        <f>ß06</f>
        <v>Werder</v>
      </c>
      <c r="BT256" s="141"/>
      <c r="BU256" s="141"/>
      <c r="BV256" s="141" t="str">
        <f>ß07</f>
        <v>Freiburg</v>
      </c>
      <c r="BW256" s="141"/>
      <c r="BX256" s="141"/>
      <c r="BY256" s="141" t="str">
        <f>ß08</f>
        <v>Augsburg</v>
      </c>
      <c r="BZ256" s="141"/>
      <c r="CA256" s="141"/>
      <c r="CB256" s="141" t="str">
        <f>ß09</f>
        <v>Mainz</v>
      </c>
      <c r="CC256" s="141"/>
      <c r="CD256" s="141"/>
      <c r="CE256" s="141" t="str">
        <f>ß10</f>
        <v>Köln</v>
      </c>
      <c r="CF256" s="141"/>
      <c r="CG256" s="141"/>
      <c r="CH256" s="141" t="str">
        <f>ß11</f>
        <v>M'gladb.</v>
      </c>
      <c r="CI256" s="141"/>
      <c r="CJ256" s="141"/>
      <c r="CK256" s="141" t="str">
        <f>ß12</f>
        <v>HSV</v>
      </c>
      <c r="CL256" s="141"/>
      <c r="CM256" s="141"/>
      <c r="CN256" s="141" t="str">
        <f>ß13</f>
        <v>Union</v>
      </c>
      <c r="CO256" s="141"/>
      <c r="CP256" s="141"/>
      <c r="CQ256" s="141" t="str">
        <f>ß14</f>
        <v>Stuttgart</v>
      </c>
      <c r="CR256" s="141"/>
      <c r="CS256" s="141"/>
      <c r="CT256" s="141" t="str">
        <f>ß15</f>
        <v>St. Pauli</v>
      </c>
      <c r="CU256" s="141"/>
      <c r="CV256" s="141"/>
      <c r="CW256" s="141" t="str">
        <f>ß16</f>
        <v>Dortmund</v>
      </c>
      <c r="CX256" s="141"/>
      <c r="CY256" s="141"/>
      <c r="CZ256" s="141" t="str">
        <f>ß17</f>
        <v>Heidenheim</v>
      </c>
      <c r="DA256" s="141"/>
      <c r="DB256" s="141"/>
      <c r="DC256" s="141" t="str">
        <f>ß18</f>
        <v>Wolfsburg</v>
      </c>
      <c r="DD256" s="141"/>
      <c r="DE256" s="141"/>
    </row>
    <row r="257" spans="3:122" ht="11.25" customHeight="1" x14ac:dyDescent="0.2">
      <c r="C257" s="16" t="str">
        <f>Mannschaften!F18</f>
        <v>18. Spieltag</v>
      </c>
      <c r="D257" s="11"/>
      <c r="E257" s="17" t="str">
        <f>Mannschaften!G18</f>
        <v>16.-18.1.26</v>
      </c>
      <c r="I257" s="19">
        <f>RANK(Rang!A18,Rang!A18:G18)</f>
        <v>1</v>
      </c>
      <c r="J257" s="20">
        <f>RANK(Rang!H18,Rang!H18:N18)</f>
        <v>1</v>
      </c>
      <c r="K257" s="19">
        <f>RANK(Rang!B18,Rang!A18:G18)</f>
        <v>1</v>
      </c>
      <c r="L257" s="20">
        <f>RANK(Rang!I18,Rang!H18:N18)</f>
        <v>1</v>
      </c>
      <c r="M257" s="19">
        <f>RANK(Rang!C18,Rang!A18:G18)</f>
        <v>1</v>
      </c>
      <c r="N257" s="20">
        <f>RANK(Rang!J18,Rang!H18:N18)</f>
        <v>1</v>
      </c>
      <c r="O257" s="19">
        <f>RANK(Rang!D18,Rang!A18:G18)</f>
        <v>1</v>
      </c>
      <c r="P257" s="20">
        <f>RANK(Rang!K18,Rang!H18:N18)</f>
        <v>1</v>
      </c>
      <c r="Q257" s="19">
        <f>RANK(Rang!E18,Rang!A18:G18)</f>
        <v>1</v>
      </c>
      <c r="R257" s="20">
        <f>RANK(Rang!L18,Rang!H18:N18)</f>
        <v>1</v>
      </c>
      <c r="S257" s="19">
        <f>RANK(Rang!F18,Rang!A18:G18)</f>
        <v>1</v>
      </c>
      <c r="T257" s="20">
        <f>RANK(Rang!M18,Rang!H18:N18)</f>
        <v>1</v>
      </c>
      <c r="U257" s="19">
        <f>RANK(Rang!G18,Rang!A18:G18)</f>
        <v>1</v>
      </c>
      <c r="V257" s="20">
        <f>RANK(Rang!N18,Rang!H18:N18)</f>
        <v>1</v>
      </c>
      <c r="AF257" s="22"/>
      <c r="AG257" s="22"/>
      <c r="AH257" s="22"/>
      <c r="AI257" s="22"/>
      <c r="AJ257" s="22"/>
      <c r="AK257" s="21"/>
      <c r="AL257" s="21"/>
      <c r="AM257" s="21"/>
      <c r="AN257" s="21"/>
      <c r="AO257" s="21"/>
      <c r="AP257" s="21"/>
      <c r="AQ257" s="21"/>
      <c r="AR257" s="21"/>
      <c r="AS257" s="24"/>
      <c r="AT257" s="21"/>
      <c r="AU257" s="21"/>
      <c r="AV257" s="21"/>
      <c r="AW257" s="21"/>
      <c r="AX257" s="21"/>
      <c r="AY257" s="21"/>
      <c r="AZ257" s="21"/>
      <c r="BA257" s="21"/>
      <c r="BB257" s="21"/>
      <c r="BD257" s="25" t="s">
        <v>4</v>
      </c>
      <c r="BE257" s="25" t="s">
        <v>5</v>
      </c>
      <c r="BF257" s="26" t="s">
        <v>6</v>
      </c>
      <c r="BG257" s="27" t="s">
        <v>4</v>
      </c>
      <c r="BH257" s="25" t="s">
        <v>5</v>
      </c>
      <c r="BI257" s="26" t="s">
        <v>6</v>
      </c>
      <c r="BJ257" s="27" t="s">
        <v>4</v>
      </c>
      <c r="BK257" s="25" t="s">
        <v>5</v>
      </c>
      <c r="BL257" s="26" t="s">
        <v>6</v>
      </c>
      <c r="BM257" s="27" t="s">
        <v>4</v>
      </c>
      <c r="BN257" s="25" t="s">
        <v>5</v>
      </c>
      <c r="BO257" s="26" t="s">
        <v>6</v>
      </c>
      <c r="BP257" s="27" t="s">
        <v>4</v>
      </c>
      <c r="BQ257" s="25" t="s">
        <v>5</v>
      </c>
      <c r="BR257" s="26" t="s">
        <v>6</v>
      </c>
      <c r="BS257" s="27" t="s">
        <v>4</v>
      </c>
      <c r="BT257" s="25" t="s">
        <v>5</v>
      </c>
      <c r="BU257" s="26" t="s">
        <v>6</v>
      </c>
      <c r="BV257" s="27" t="s">
        <v>4</v>
      </c>
      <c r="BW257" s="25" t="s">
        <v>5</v>
      </c>
      <c r="BX257" s="26" t="s">
        <v>6</v>
      </c>
      <c r="BY257" s="27" t="s">
        <v>4</v>
      </c>
      <c r="BZ257" s="25" t="s">
        <v>5</v>
      </c>
      <c r="CA257" s="26" t="s">
        <v>6</v>
      </c>
      <c r="CB257" s="27" t="s">
        <v>4</v>
      </c>
      <c r="CC257" s="25" t="s">
        <v>5</v>
      </c>
      <c r="CD257" s="26" t="s">
        <v>6</v>
      </c>
      <c r="CE257" s="27" t="s">
        <v>4</v>
      </c>
      <c r="CF257" s="25" t="s">
        <v>5</v>
      </c>
      <c r="CG257" s="26" t="s">
        <v>6</v>
      </c>
      <c r="CH257" s="27" t="s">
        <v>4</v>
      </c>
      <c r="CI257" s="25" t="s">
        <v>5</v>
      </c>
      <c r="CJ257" s="26" t="s">
        <v>6</v>
      </c>
      <c r="CK257" s="27" t="s">
        <v>4</v>
      </c>
      <c r="CL257" s="25" t="s">
        <v>5</v>
      </c>
      <c r="CM257" s="26" t="s">
        <v>6</v>
      </c>
      <c r="CN257" s="27" t="s">
        <v>4</v>
      </c>
      <c r="CO257" s="25" t="s">
        <v>5</v>
      </c>
      <c r="CP257" s="26" t="s">
        <v>6</v>
      </c>
      <c r="CQ257" s="27" t="s">
        <v>4</v>
      </c>
      <c r="CR257" s="25" t="s">
        <v>5</v>
      </c>
      <c r="CS257" s="26" t="s">
        <v>6</v>
      </c>
      <c r="CT257" s="27" t="s">
        <v>4</v>
      </c>
      <c r="CU257" s="25" t="s">
        <v>5</v>
      </c>
      <c r="CV257" s="26" t="s">
        <v>6</v>
      </c>
      <c r="CW257" s="27" t="s">
        <v>4</v>
      </c>
      <c r="CX257" s="25" t="s">
        <v>5</v>
      </c>
      <c r="CY257" s="26" t="s">
        <v>6</v>
      </c>
      <c r="CZ257" s="27" t="s">
        <v>4</v>
      </c>
      <c r="DA257" s="25" t="s">
        <v>5</v>
      </c>
      <c r="DB257" s="26" t="s">
        <v>6</v>
      </c>
      <c r="DC257" s="27" t="s">
        <v>4</v>
      </c>
      <c r="DD257" s="25" t="s">
        <v>5</v>
      </c>
      <c r="DE257" s="26" t="s">
        <v>6</v>
      </c>
      <c r="DF257" s="21"/>
      <c r="DG257" s="21"/>
      <c r="DH257" s="21"/>
      <c r="DN257" s="136" t="s">
        <v>7</v>
      </c>
      <c r="DO257" s="136"/>
      <c r="DP257" s="136" t="s">
        <v>8</v>
      </c>
      <c r="DQ257" s="136"/>
      <c r="DR257" s="28"/>
    </row>
    <row r="258" spans="3:122" ht="11.25" customHeight="1" x14ac:dyDescent="0.2">
      <c r="C258" s="2" t="str">
        <f t="shared" ref="C258:C266" si="243">E3</f>
        <v>Leipzig</v>
      </c>
      <c r="D258" s="3" t="s">
        <v>11</v>
      </c>
      <c r="E258" s="2" t="str">
        <f t="shared" ref="E258:E266" si="244">C3</f>
        <v>Bayern</v>
      </c>
      <c r="F258" s="29"/>
      <c r="G258" s="3" t="s">
        <v>12</v>
      </c>
      <c r="H258" s="30"/>
      <c r="I258" s="31"/>
      <c r="J258" s="32" t="str">
        <f t="shared" ref="J258:J266" si="245">IF($F258="","",(IF(I258="","",IF(I258=$DG258,(VLOOKUP($DH258,$DJ$3:$DK$11,2,FALSE())),0))))</f>
        <v/>
      </c>
      <c r="K258" s="31"/>
      <c r="L258" s="32" t="str">
        <f t="shared" ref="L258:L266" si="246">IF($F258="","",(IF(K258="","",IF(K258=$DG258,(VLOOKUP($DH258,$DJ$3:$DK$11,2,FALSE())),0))))</f>
        <v/>
      </c>
      <c r="M258" s="31"/>
      <c r="N258" s="32" t="str">
        <f t="shared" ref="N258:N266" si="247">IF($F258="","",(IF(M258="","",IF(M258=$DG258,(VLOOKUP($DH258,$DJ$3:$DK$11,2,FALSE())),0))))</f>
        <v/>
      </c>
      <c r="O258" s="31"/>
      <c r="P258" s="32" t="str">
        <f t="shared" ref="P258:P266" si="248">IF($F258="","",(IF(O258="","",IF(O258=$DG258,(VLOOKUP($DH258,$DJ$3:$DK$11,2,FALSE())),0))))</f>
        <v/>
      </c>
      <c r="Q258" s="31"/>
      <c r="R258" s="32" t="str">
        <f t="shared" ref="R258:R266" si="249">IF($F258="","",(IF(Q258="","",IF(Q258=$DG258,(VLOOKUP($DH258,$DJ$3:$DK$11,2,FALSE())),0))))</f>
        <v/>
      </c>
      <c r="S258" s="31"/>
      <c r="T258" s="32" t="str">
        <f t="shared" ref="T258:T266" si="250">IF($F258="","",(IF(S258="","",IF(S258=$DG258,(VLOOKUP($DH258,$DJ$3:$DK$11,2,FALSE())),0))))</f>
        <v/>
      </c>
      <c r="U258" s="31"/>
      <c r="V258" s="32" t="str">
        <f t="shared" ref="V258:V266" si="251">IF($F258="","",(IF(U258="","",IF(U258=$DG258,(VLOOKUP($DH258,$DJ$3:$DK$11,2,FALSE())),0))))</f>
        <v/>
      </c>
      <c r="AF258" s="34"/>
      <c r="AG258" s="34"/>
      <c r="AH258" s="34"/>
      <c r="AI258" s="34"/>
      <c r="AJ258" s="34"/>
      <c r="AN258" s="5"/>
      <c r="AO258" s="5"/>
      <c r="AP258" s="5"/>
      <c r="AQ258" s="5"/>
      <c r="AR258" s="5"/>
      <c r="AS258" s="13"/>
      <c r="AT258" s="5"/>
      <c r="AU258" s="5"/>
      <c r="AV258" s="5"/>
      <c r="AW258" s="5"/>
      <c r="AX258" s="5"/>
      <c r="AY258" s="5"/>
      <c r="BC258" s="6">
        <v>257</v>
      </c>
      <c r="BD258" s="35" t="str">
        <f>IF(ISERROR(MATCH(ß01,$C258:$C266,0)),"",MATCH(ß01,$C258:$C266,0))</f>
        <v/>
      </c>
      <c r="BE258" s="35">
        <f>IF(ISERROR(MATCH(ß01,$E258:$E266,0)),"",MATCH(ß01,$E258:$E266,0))</f>
        <v>1</v>
      </c>
      <c r="BF258" s="15">
        <f>SUM(BD258:BE258)+BC258</f>
        <v>258</v>
      </c>
      <c r="BG258" s="36">
        <f>IF(ISERROR(MATCH(ß02,$C258:$C266,0)),"",MATCH(ß02,$C258:$C266,0))</f>
        <v>1</v>
      </c>
      <c r="BH258" s="35" t="str">
        <f>IF(ISERROR(MATCH(ß02,$E258:$E266,0)),"",MATCH(ß02,$E258:$E266,0))</f>
        <v/>
      </c>
      <c r="BI258" s="15">
        <f>SUM(BG258:BH258)+BC258</f>
        <v>258</v>
      </c>
      <c r="BJ258" s="36" t="str">
        <f>IF(ISERROR(MATCH(ß03,$C258:$C266,0)),"",MATCH(ß03,$C258:$C266,0))</f>
        <v/>
      </c>
      <c r="BK258" s="35">
        <f>IF(ISERROR(MATCH(ß03,$E258:$E266,0)),"",MATCH(ß03,$E258:$E266,0))</f>
        <v>2</v>
      </c>
      <c r="BL258" s="15">
        <f>SUM(BJ258:BK258)+BC258</f>
        <v>259</v>
      </c>
      <c r="BM258" s="36">
        <f>IF(ISERROR(MATCH(ß04,$C258:$C266,0)),"",MATCH(ß04,$C258:$C266,0))</f>
        <v>2</v>
      </c>
      <c r="BN258" s="35" t="str">
        <f>IF(ISERROR(MATCH(ß04,$E258:$E266,0)),"",MATCH(ß04,$E258:$E266,0))</f>
        <v/>
      </c>
      <c r="BO258" s="15">
        <f>SUM(BM258:BN258)+BC258</f>
        <v>259</v>
      </c>
      <c r="BP258" s="36" t="str">
        <f>IF(ISERROR(MATCH(ß05,$C258:$C266,0)),"",MATCH(ß05,$C258:$C266,0))</f>
        <v/>
      </c>
      <c r="BQ258" s="35">
        <f>IF(ISERROR(MATCH(ß05,$E258:$E266,0)),"",MATCH(ß05,$E258:$E266,0))</f>
        <v>3</v>
      </c>
      <c r="BR258" s="15">
        <f>SUM(BP258:BQ258)+BC258</f>
        <v>260</v>
      </c>
      <c r="BS258" s="36">
        <f>IF(ISERROR(MATCH(ß06,$C258:$C266,0)),"",MATCH(ß06,$C258:$C266,0))</f>
        <v>3</v>
      </c>
      <c r="BT258" s="35" t="str">
        <f>IF(ISERROR(MATCH(ß06,$E258:$E266,0)),"",MATCH(ß06,$E258:$E266,0))</f>
        <v/>
      </c>
      <c r="BU258" s="15">
        <f>SUM(BS258:BT258)+BC258</f>
        <v>260</v>
      </c>
      <c r="BV258" s="36" t="str">
        <f>IF(ISERROR(MATCH(ß07,$C258:$C266,0)),"",MATCH(ß07,$C258:$C266,0))</f>
        <v/>
      </c>
      <c r="BW258" s="35">
        <f>IF(ISERROR(MATCH(ß07,$E258:$E266,0)),"",MATCH(ß07,$E258:$E266,0))</f>
        <v>4</v>
      </c>
      <c r="BX258" s="15">
        <f>SUM(BV258:BW258)+BC258</f>
        <v>261</v>
      </c>
      <c r="BY258" s="36">
        <f>IF(ISERROR(MATCH(ß08,$C258:$C266,0)),"",MATCH(ß08,$C258:$C266,0))</f>
        <v>4</v>
      </c>
      <c r="BZ258" s="35" t="str">
        <f>IF(ISERROR(MATCH(ß08,$E258:$E266,0)),"",MATCH(ß08,$E258:$E266,0))</f>
        <v/>
      </c>
      <c r="CA258" s="15">
        <f>SUM(BY258:BZ258)+BC258</f>
        <v>261</v>
      </c>
      <c r="CB258" s="36" t="str">
        <f>IF(ISERROR(MATCH(ß09,$C258:$C266,0)),"",MATCH(ß09,$C258:$C266,0))</f>
        <v/>
      </c>
      <c r="CC258" s="35">
        <f>IF(ISERROR(MATCH(ß09,$E258:$E266,0)),"",MATCH(ß09,$E258:$E266,0))</f>
        <v>5</v>
      </c>
      <c r="CD258" s="15">
        <f>SUM(CB258:CC258)+BC258</f>
        <v>262</v>
      </c>
      <c r="CE258" s="36">
        <f>IF(ISERROR(MATCH(ß10,$C258:$C266,0)),"",MATCH(ß10,$C258:$C266,0))</f>
        <v>5</v>
      </c>
      <c r="CF258" s="35" t="str">
        <f>IF(ISERROR(MATCH(ß10,$E258:$E266,0)),"",MATCH(ß10,$E258:$E266,0))</f>
        <v/>
      </c>
      <c r="CG258" s="15">
        <f>SUM(CE258:CF258)+BC258</f>
        <v>262</v>
      </c>
      <c r="CH258" s="36" t="str">
        <f>IF(ISERROR(MATCH(ß11,$C258:$C266,0)),"",MATCH(ß11,$C258:$C266,0))</f>
        <v/>
      </c>
      <c r="CI258" s="35">
        <f>IF(ISERROR(MATCH(ß11,$E258:$E266,0)),"",MATCH(ß11,$E258:$E266,0))</f>
        <v>6</v>
      </c>
      <c r="CJ258" s="15">
        <f>SUM(CH258:CI258)+BC258</f>
        <v>263</v>
      </c>
      <c r="CK258" s="36">
        <f>IF(ISERROR(MATCH(ß12,$C258:$C266,0)),"",MATCH(ß12,$C258:$C266,0))</f>
        <v>6</v>
      </c>
      <c r="CL258" s="35" t="str">
        <f>IF(ISERROR(MATCH(ß12,$E258:$E266,0)),"",MATCH(ß12,$E258:$E266,0))</f>
        <v/>
      </c>
      <c r="CM258" s="15">
        <f>SUM(CK258:CL258)+BC258</f>
        <v>263</v>
      </c>
      <c r="CN258" s="36" t="str">
        <f>IF(ISERROR(MATCH(ß13,$C258:$C266,0)),"",MATCH(ß13,$C258:$C266,0))</f>
        <v/>
      </c>
      <c r="CO258" s="35">
        <f>IF(ISERROR(MATCH(ß13,$E258:$E266,0)),"",MATCH(ß13,$E258:$E266,0))</f>
        <v>7</v>
      </c>
      <c r="CP258" s="15">
        <f>SUM(CN258:CO258)+BC258</f>
        <v>264</v>
      </c>
      <c r="CQ258" s="36">
        <f>IF(ISERROR(MATCH(ß14,$C258:$C266,0)),"",MATCH(ß14,$C258:$C266,0))</f>
        <v>7</v>
      </c>
      <c r="CR258" s="35" t="str">
        <f>IF(ISERROR(MATCH(ß14,$E258:$E266,0)),"",MATCH(ß14,$E258:$E266,0))</f>
        <v/>
      </c>
      <c r="CS258" s="15">
        <f>SUM(CQ258:CR258)+BC258</f>
        <v>264</v>
      </c>
      <c r="CT258" s="36" t="str">
        <f>IF(ISERROR(MATCH(ß15,$C258:$C266,0)),"",MATCH(ß15,$C258:$C266,0))</f>
        <v/>
      </c>
      <c r="CU258" s="35">
        <f>IF(ISERROR(MATCH(ß15,$E258:$E266,0)),"",MATCH(ß15,$E258:$E266,0))</f>
        <v>8</v>
      </c>
      <c r="CV258" s="15">
        <f>SUM(CT258:CU258)+BC258</f>
        <v>265</v>
      </c>
      <c r="CW258" s="36">
        <f>IF(ISERROR(MATCH(ß16,$C258:$C266,0)),"",MATCH(ß16,$C258:$C266,0))</f>
        <v>8</v>
      </c>
      <c r="CX258" s="35" t="str">
        <f>IF(ISERROR(MATCH(ß16,$E258:$E266,0)),"",MATCH(ß16,$E258:$E266,0))</f>
        <v/>
      </c>
      <c r="CY258" s="15">
        <f>SUM(CW258:CX258)+BC258</f>
        <v>265</v>
      </c>
      <c r="CZ258" s="36" t="str">
        <f>IF(ISERROR(MATCH(ß17,$C258:$C266,0)),"",MATCH(ß17,$C258:$C266,0))</f>
        <v/>
      </c>
      <c r="DA258" s="35">
        <f>IF(ISERROR(MATCH(ß17,$E258:$E266,0)),"",MATCH(ß17,$E258:$E266,0))</f>
        <v>9</v>
      </c>
      <c r="DB258" s="15">
        <f>SUM(CZ258:DA258)+BC258</f>
        <v>266</v>
      </c>
      <c r="DC258" s="36">
        <f>IF(ISERROR(MATCH(ß18,$C258:$C266,0)),"",MATCH(ß18,$C258:$C266,0))</f>
        <v>9</v>
      </c>
      <c r="DD258" s="35" t="str">
        <f>IF(ISERROR(MATCH(ß18,$E258:$E266,0)),"",MATCH(ß18,$E258:$E266,0))</f>
        <v/>
      </c>
      <c r="DE258" s="15">
        <f>SUM(DC258:DD258)+BC258</f>
        <v>266</v>
      </c>
      <c r="DG258" s="8" t="str">
        <f t="shared" ref="DG258:DG266" si="252">IF(F258="","",(IF(F258=H258,0,IF(F258&gt;H258,1,IF(F258&lt;H258,2)))))</f>
        <v/>
      </c>
      <c r="DH258" s="3">
        <f>COUNTIF(I258,DG258)+COUNTIF(K258,DG258)+COUNTIF(M258,DG258)+COUNTIF(O258,DG258)+COUNTIF(Q258,DG258)+COUNTIF(S258,DG258)+COUNTIF(U258,DG258)</f>
        <v>7</v>
      </c>
      <c r="DN258" s="12">
        <f t="shared" ref="DN258:DN266" si="253">F258</f>
        <v>0</v>
      </c>
      <c r="DO258" s="5">
        <f t="shared" ref="DO258:DO266" si="254">H258</f>
        <v>0</v>
      </c>
      <c r="DP258" s="5" t="str">
        <f t="shared" ref="DP258:DP266" si="255">IF($F258="","",IF(DN258&gt;DO258,3,IF(DN258&lt;DO258,0,1)))</f>
        <v/>
      </c>
      <c r="DQ258" s="5" t="str">
        <f t="shared" ref="DQ258:DQ266" si="256">IF($H258="","",IF(DO258&gt;DN258,3,IF(DO258&lt;DN258,0,1)))</f>
        <v/>
      </c>
      <c r="DR258" s="5">
        <f t="shared" ref="DR258:DR266" si="257">IF(ISBLANK(F258),0,1)</f>
        <v>0</v>
      </c>
    </row>
    <row r="259" spans="3:122" ht="11.25" customHeight="1" x14ac:dyDescent="0.2">
      <c r="C259" s="2" t="str">
        <f t="shared" si="243"/>
        <v>Hoffenheim</v>
      </c>
      <c r="D259" s="3" t="s">
        <v>11</v>
      </c>
      <c r="E259" s="2" t="str">
        <f t="shared" si="244"/>
        <v>Leverk.</v>
      </c>
      <c r="F259" s="29"/>
      <c r="G259" s="3" t="s">
        <v>12</v>
      </c>
      <c r="H259" s="30"/>
      <c r="I259" s="37"/>
      <c r="J259" s="38" t="str">
        <f t="shared" si="245"/>
        <v/>
      </c>
      <c r="K259" s="37"/>
      <c r="L259" s="38" t="str">
        <f t="shared" si="246"/>
        <v/>
      </c>
      <c r="M259" s="37"/>
      <c r="N259" s="38" t="str">
        <f t="shared" si="247"/>
        <v/>
      </c>
      <c r="O259" s="37"/>
      <c r="P259" s="38" t="str">
        <f t="shared" si="248"/>
        <v/>
      </c>
      <c r="Q259" s="37"/>
      <c r="R259" s="38" t="str">
        <f t="shared" si="249"/>
        <v/>
      </c>
      <c r="S259" s="37"/>
      <c r="T259" s="38" t="str">
        <f t="shared" si="250"/>
        <v/>
      </c>
      <c r="U259" s="37"/>
      <c r="V259" s="38" t="str">
        <f t="shared" si="251"/>
        <v/>
      </c>
      <c r="AF259" s="34"/>
      <c r="AG259" s="34"/>
      <c r="AH259" s="34"/>
      <c r="AI259" s="34"/>
      <c r="AJ259" s="34"/>
      <c r="DG259" s="8" t="str">
        <f t="shared" si="252"/>
        <v/>
      </c>
      <c r="DH259" s="3">
        <f t="shared" ref="DH259:DH266" si="258">COUNTIF(I259,DG259)+COUNTIF(K259,DG259)+COUNTIF(M259,DG259)+COUNTIF(O259,DG259)+COUNTIF(Q259,DG259)+COUNTIF(S259,DG259)+COUNTIF(U259,DG259)</f>
        <v>7</v>
      </c>
      <c r="DN259" s="12">
        <f t="shared" si="253"/>
        <v>0</v>
      </c>
      <c r="DO259" s="5">
        <f t="shared" si="254"/>
        <v>0</v>
      </c>
      <c r="DP259" s="5" t="str">
        <f t="shared" si="255"/>
        <v/>
      </c>
      <c r="DQ259" s="5" t="str">
        <f t="shared" si="256"/>
        <v/>
      </c>
      <c r="DR259" s="5">
        <f t="shared" si="257"/>
        <v>0</v>
      </c>
    </row>
    <row r="260" spans="3:122" ht="11.25" customHeight="1" x14ac:dyDescent="0.2">
      <c r="C260" s="2" t="str">
        <f t="shared" si="243"/>
        <v>Werder</v>
      </c>
      <c r="D260" s="3" t="s">
        <v>11</v>
      </c>
      <c r="E260" s="2" t="str">
        <f t="shared" si="244"/>
        <v>Frankfurt</v>
      </c>
      <c r="F260" s="29"/>
      <c r="G260" s="3" t="s">
        <v>12</v>
      </c>
      <c r="H260" s="30"/>
      <c r="I260" s="37"/>
      <c r="J260" s="38" t="str">
        <f t="shared" si="245"/>
        <v/>
      </c>
      <c r="K260" s="37"/>
      <c r="L260" s="38" t="str">
        <f t="shared" si="246"/>
        <v/>
      </c>
      <c r="M260" s="37"/>
      <c r="N260" s="38" t="str">
        <f t="shared" si="247"/>
        <v/>
      </c>
      <c r="O260" s="37"/>
      <c r="P260" s="38" t="str">
        <f t="shared" si="248"/>
        <v/>
      </c>
      <c r="Q260" s="37"/>
      <c r="R260" s="38" t="str">
        <f t="shared" si="249"/>
        <v/>
      </c>
      <c r="S260" s="37"/>
      <c r="T260" s="38" t="str">
        <f t="shared" si="250"/>
        <v/>
      </c>
      <c r="U260" s="37"/>
      <c r="V260" s="38" t="str">
        <f t="shared" si="251"/>
        <v/>
      </c>
      <c r="AF260" s="34"/>
      <c r="AG260" s="34"/>
      <c r="AH260" s="34"/>
      <c r="AI260" s="34"/>
      <c r="AJ260" s="34"/>
      <c r="DG260" s="8" t="str">
        <f t="shared" si="252"/>
        <v/>
      </c>
      <c r="DH260" s="3">
        <f t="shared" si="258"/>
        <v>7</v>
      </c>
      <c r="DN260" s="12">
        <f t="shared" si="253"/>
        <v>0</v>
      </c>
      <c r="DO260" s="5">
        <f t="shared" si="254"/>
        <v>0</v>
      </c>
      <c r="DP260" s="5" t="str">
        <f t="shared" si="255"/>
        <v/>
      </c>
      <c r="DQ260" s="5" t="str">
        <f t="shared" si="256"/>
        <v/>
      </c>
      <c r="DR260" s="5">
        <f t="shared" si="257"/>
        <v>0</v>
      </c>
    </row>
    <row r="261" spans="3:122" ht="11.25" customHeight="1" x14ac:dyDescent="0.2">
      <c r="C261" s="2" t="str">
        <f t="shared" si="243"/>
        <v>Augsburg</v>
      </c>
      <c r="D261" s="3" t="s">
        <v>11</v>
      </c>
      <c r="E261" s="2" t="str">
        <f t="shared" si="244"/>
        <v>Freiburg</v>
      </c>
      <c r="F261" s="29"/>
      <c r="G261" s="3" t="s">
        <v>12</v>
      </c>
      <c r="H261" s="30"/>
      <c r="I261" s="37"/>
      <c r="J261" s="38" t="str">
        <f t="shared" si="245"/>
        <v/>
      </c>
      <c r="K261" s="37"/>
      <c r="L261" s="38" t="str">
        <f t="shared" si="246"/>
        <v/>
      </c>
      <c r="M261" s="37"/>
      <c r="N261" s="38" t="str">
        <f t="shared" si="247"/>
        <v/>
      </c>
      <c r="O261" s="37"/>
      <c r="P261" s="38" t="str">
        <f t="shared" si="248"/>
        <v/>
      </c>
      <c r="Q261" s="37"/>
      <c r="R261" s="38" t="str">
        <f t="shared" si="249"/>
        <v/>
      </c>
      <c r="S261" s="37"/>
      <c r="T261" s="38" t="str">
        <f t="shared" si="250"/>
        <v/>
      </c>
      <c r="U261" s="37"/>
      <c r="V261" s="38" t="str">
        <f t="shared" si="251"/>
        <v/>
      </c>
      <c r="AF261" s="34"/>
      <c r="AG261" s="34"/>
      <c r="AH261" s="34"/>
      <c r="AI261" s="34"/>
      <c r="AJ261" s="34"/>
      <c r="DG261" s="8" t="str">
        <f t="shared" si="252"/>
        <v/>
      </c>
      <c r="DH261" s="3">
        <f t="shared" si="258"/>
        <v>7</v>
      </c>
      <c r="DN261" s="12">
        <f t="shared" si="253"/>
        <v>0</v>
      </c>
      <c r="DO261" s="5">
        <f t="shared" si="254"/>
        <v>0</v>
      </c>
      <c r="DP261" s="5" t="str">
        <f t="shared" si="255"/>
        <v/>
      </c>
      <c r="DQ261" s="5" t="str">
        <f t="shared" si="256"/>
        <v/>
      </c>
      <c r="DR261" s="5">
        <f t="shared" si="257"/>
        <v>0</v>
      </c>
    </row>
    <row r="262" spans="3:122" ht="11.25" customHeight="1" x14ac:dyDescent="0.2">
      <c r="C262" s="2" t="str">
        <f t="shared" si="243"/>
        <v>Köln</v>
      </c>
      <c r="D262" s="3" t="s">
        <v>11</v>
      </c>
      <c r="E262" s="2" t="str">
        <f t="shared" si="244"/>
        <v>Mainz</v>
      </c>
      <c r="F262" s="29"/>
      <c r="G262" s="3" t="s">
        <v>12</v>
      </c>
      <c r="H262" s="30"/>
      <c r="I262" s="37"/>
      <c r="J262" s="38" t="str">
        <f t="shared" si="245"/>
        <v/>
      </c>
      <c r="K262" s="37"/>
      <c r="L262" s="38" t="str">
        <f t="shared" si="246"/>
        <v/>
      </c>
      <c r="M262" s="37"/>
      <c r="N262" s="38" t="str">
        <f t="shared" si="247"/>
        <v/>
      </c>
      <c r="O262" s="37"/>
      <c r="P262" s="38" t="str">
        <f t="shared" si="248"/>
        <v/>
      </c>
      <c r="Q262" s="37"/>
      <c r="R262" s="38" t="str">
        <f t="shared" si="249"/>
        <v/>
      </c>
      <c r="S262" s="37"/>
      <c r="T262" s="38" t="str">
        <f t="shared" si="250"/>
        <v/>
      </c>
      <c r="U262" s="37"/>
      <c r="V262" s="38" t="str">
        <f t="shared" si="251"/>
        <v/>
      </c>
      <c r="AF262" s="34"/>
      <c r="AG262" s="34"/>
      <c r="AH262" s="34"/>
      <c r="AI262" s="34"/>
      <c r="AJ262" s="34"/>
      <c r="DG262" s="8" t="str">
        <f t="shared" si="252"/>
        <v/>
      </c>
      <c r="DH262" s="3">
        <f t="shared" si="258"/>
        <v>7</v>
      </c>
      <c r="DN262" s="12">
        <f t="shared" si="253"/>
        <v>0</v>
      </c>
      <c r="DO262" s="5">
        <f t="shared" si="254"/>
        <v>0</v>
      </c>
      <c r="DP262" s="5" t="str">
        <f t="shared" si="255"/>
        <v/>
      </c>
      <c r="DQ262" s="5" t="str">
        <f t="shared" si="256"/>
        <v/>
      </c>
      <c r="DR262" s="5">
        <f t="shared" si="257"/>
        <v>0</v>
      </c>
    </row>
    <row r="263" spans="3:122" ht="11.25" customHeight="1" x14ac:dyDescent="0.2">
      <c r="C263" s="2" t="str">
        <f t="shared" si="243"/>
        <v>HSV</v>
      </c>
      <c r="D263" s="3" t="s">
        <v>11</v>
      </c>
      <c r="E263" s="2" t="str">
        <f t="shared" si="244"/>
        <v>M'gladb.</v>
      </c>
      <c r="F263" s="29"/>
      <c r="G263" s="3" t="s">
        <v>12</v>
      </c>
      <c r="H263" s="30"/>
      <c r="I263" s="37"/>
      <c r="J263" s="38" t="str">
        <f t="shared" si="245"/>
        <v/>
      </c>
      <c r="K263" s="37"/>
      <c r="L263" s="38" t="str">
        <f t="shared" si="246"/>
        <v/>
      </c>
      <c r="M263" s="37"/>
      <c r="N263" s="38" t="str">
        <f t="shared" si="247"/>
        <v/>
      </c>
      <c r="O263" s="37"/>
      <c r="P263" s="38" t="str">
        <f t="shared" si="248"/>
        <v/>
      </c>
      <c r="Q263" s="37"/>
      <c r="R263" s="38" t="str">
        <f t="shared" si="249"/>
        <v/>
      </c>
      <c r="S263" s="37"/>
      <c r="T263" s="38" t="str">
        <f t="shared" si="250"/>
        <v/>
      </c>
      <c r="U263" s="37"/>
      <c r="V263" s="38" t="str">
        <f t="shared" si="251"/>
        <v/>
      </c>
      <c r="AF263" s="34"/>
      <c r="AG263" s="34"/>
      <c r="AH263" s="34"/>
      <c r="AI263" s="34"/>
      <c r="AJ263" s="34"/>
      <c r="DG263" s="8" t="str">
        <f t="shared" si="252"/>
        <v/>
      </c>
      <c r="DH263" s="3">
        <f t="shared" si="258"/>
        <v>7</v>
      </c>
      <c r="DN263" s="12">
        <f t="shared" si="253"/>
        <v>0</v>
      </c>
      <c r="DO263" s="5">
        <f t="shared" si="254"/>
        <v>0</v>
      </c>
      <c r="DP263" s="5" t="str">
        <f t="shared" si="255"/>
        <v/>
      </c>
      <c r="DQ263" s="5" t="str">
        <f t="shared" si="256"/>
        <v/>
      </c>
      <c r="DR263" s="5">
        <f t="shared" si="257"/>
        <v>0</v>
      </c>
    </row>
    <row r="264" spans="3:122" ht="11.25" customHeight="1" x14ac:dyDescent="0.2">
      <c r="C264" s="2" t="str">
        <f t="shared" si="243"/>
        <v>Stuttgart</v>
      </c>
      <c r="D264" s="3" t="s">
        <v>11</v>
      </c>
      <c r="E264" s="2" t="str">
        <f t="shared" si="244"/>
        <v>Union</v>
      </c>
      <c r="F264" s="29"/>
      <c r="G264" s="3" t="s">
        <v>12</v>
      </c>
      <c r="H264" s="30"/>
      <c r="I264" s="37"/>
      <c r="J264" s="38" t="str">
        <f t="shared" si="245"/>
        <v/>
      </c>
      <c r="K264" s="37"/>
      <c r="L264" s="38" t="str">
        <f t="shared" si="246"/>
        <v/>
      </c>
      <c r="M264" s="37"/>
      <c r="N264" s="38" t="str">
        <f t="shared" si="247"/>
        <v/>
      </c>
      <c r="O264" s="37"/>
      <c r="P264" s="38" t="str">
        <f t="shared" si="248"/>
        <v/>
      </c>
      <c r="Q264" s="37"/>
      <c r="R264" s="38" t="str">
        <f t="shared" si="249"/>
        <v/>
      </c>
      <c r="S264" s="37"/>
      <c r="T264" s="38" t="str">
        <f t="shared" si="250"/>
        <v/>
      </c>
      <c r="U264" s="37"/>
      <c r="V264" s="38" t="str">
        <f t="shared" si="251"/>
        <v/>
      </c>
      <c r="AF264" s="34"/>
      <c r="AG264" s="34"/>
      <c r="AH264" s="34"/>
      <c r="AI264" s="34"/>
      <c r="AJ264" s="34"/>
      <c r="DG264" s="8" t="str">
        <f t="shared" si="252"/>
        <v/>
      </c>
      <c r="DH264" s="3">
        <f t="shared" si="258"/>
        <v>7</v>
      </c>
      <c r="DN264" s="12">
        <f t="shared" si="253"/>
        <v>0</v>
      </c>
      <c r="DO264" s="5">
        <f t="shared" si="254"/>
        <v>0</v>
      </c>
      <c r="DP264" s="5" t="str">
        <f t="shared" si="255"/>
        <v/>
      </c>
      <c r="DQ264" s="5" t="str">
        <f t="shared" si="256"/>
        <v/>
      </c>
      <c r="DR264" s="5">
        <f t="shared" si="257"/>
        <v>0</v>
      </c>
    </row>
    <row r="265" spans="3:122" ht="11.25" customHeight="1" x14ac:dyDescent="0.2">
      <c r="C265" s="2" t="str">
        <f t="shared" si="243"/>
        <v>Dortmund</v>
      </c>
      <c r="D265" s="3" t="s">
        <v>11</v>
      </c>
      <c r="E265" s="2" t="str">
        <f t="shared" si="244"/>
        <v>St. Pauli</v>
      </c>
      <c r="F265" s="29"/>
      <c r="G265" s="3" t="s">
        <v>12</v>
      </c>
      <c r="H265" s="30"/>
      <c r="I265" s="37"/>
      <c r="J265" s="38" t="str">
        <f t="shared" si="245"/>
        <v/>
      </c>
      <c r="K265" s="37"/>
      <c r="L265" s="38" t="str">
        <f t="shared" si="246"/>
        <v/>
      </c>
      <c r="M265" s="37"/>
      <c r="N265" s="38" t="str">
        <f t="shared" si="247"/>
        <v/>
      </c>
      <c r="O265" s="37"/>
      <c r="P265" s="38" t="str">
        <f t="shared" si="248"/>
        <v/>
      </c>
      <c r="Q265" s="37"/>
      <c r="R265" s="38" t="str">
        <f t="shared" si="249"/>
        <v/>
      </c>
      <c r="S265" s="37"/>
      <c r="T265" s="38" t="str">
        <f t="shared" si="250"/>
        <v/>
      </c>
      <c r="U265" s="37"/>
      <c r="V265" s="38" t="str">
        <f t="shared" si="251"/>
        <v/>
      </c>
      <c r="AF265" s="34"/>
      <c r="AG265" s="34"/>
      <c r="AH265" s="34"/>
      <c r="AI265" s="34"/>
      <c r="AJ265" s="34"/>
      <c r="DG265" s="8" t="str">
        <f t="shared" si="252"/>
        <v/>
      </c>
      <c r="DH265" s="3">
        <f t="shared" si="258"/>
        <v>7</v>
      </c>
      <c r="DN265" s="12">
        <f t="shared" si="253"/>
        <v>0</v>
      </c>
      <c r="DO265" s="5">
        <f t="shared" si="254"/>
        <v>0</v>
      </c>
      <c r="DP265" s="5" t="str">
        <f t="shared" si="255"/>
        <v/>
      </c>
      <c r="DQ265" s="5" t="str">
        <f t="shared" si="256"/>
        <v/>
      </c>
      <c r="DR265" s="5">
        <f t="shared" si="257"/>
        <v>0</v>
      </c>
    </row>
    <row r="266" spans="3:122" ht="11.25" customHeight="1" thickBot="1" x14ac:dyDescent="0.25">
      <c r="C266" s="2" t="str">
        <f t="shared" si="243"/>
        <v>Wolfsburg</v>
      </c>
      <c r="D266" s="3" t="s">
        <v>11</v>
      </c>
      <c r="E266" s="2" t="str">
        <f t="shared" si="244"/>
        <v>Heidenheim</v>
      </c>
      <c r="F266" s="29"/>
      <c r="G266" s="3" t="s">
        <v>12</v>
      </c>
      <c r="H266" s="30"/>
      <c r="I266" s="37"/>
      <c r="J266" s="38" t="str">
        <f t="shared" si="245"/>
        <v/>
      </c>
      <c r="K266" s="37"/>
      <c r="L266" s="38" t="str">
        <f t="shared" si="246"/>
        <v/>
      </c>
      <c r="M266" s="37"/>
      <c r="N266" s="38" t="str">
        <f t="shared" si="247"/>
        <v/>
      </c>
      <c r="O266" s="37"/>
      <c r="P266" s="38" t="str">
        <f t="shared" si="248"/>
        <v/>
      </c>
      <c r="Q266" s="37"/>
      <c r="R266" s="38" t="str">
        <f t="shared" si="249"/>
        <v/>
      </c>
      <c r="S266" s="37"/>
      <c r="T266" s="38" t="str">
        <f t="shared" si="250"/>
        <v/>
      </c>
      <c r="U266" s="37"/>
      <c r="V266" s="38" t="str">
        <f t="shared" si="251"/>
        <v/>
      </c>
      <c r="AF266" s="34"/>
      <c r="AG266" s="34"/>
      <c r="AH266" s="34"/>
      <c r="AI266" s="34"/>
      <c r="AJ266" s="34"/>
      <c r="DG266" s="8" t="str">
        <f t="shared" si="252"/>
        <v/>
      </c>
      <c r="DH266" s="3">
        <f t="shared" si="258"/>
        <v>7</v>
      </c>
      <c r="DN266" s="12">
        <f t="shared" si="253"/>
        <v>0</v>
      </c>
      <c r="DO266" s="5">
        <f t="shared" si="254"/>
        <v>0</v>
      </c>
      <c r="DP266" s="5" t="str">
        <f t="shared" si="255"/>
        <v/>
      </c>
      <c r="DQ266" s="5" t="str">
        <f t="shared" si="256"/>
        <v/>
      </c>
      <c r="DR266" s="5">
        <f t="shared" si="257"/>
        <v>0</v>
      </c>
    </row>
    <row r="267" spans="3:122" ht="11.25" customHeight="1" thickTop="1" x14ac:dyDescent="0.2">
      <c r="C267" s="41">
        <f>(I267+K267+M267+O267+Q267+S267+U267)</f>
        <v>0</v>
      </c>
      <c r="E267" s="42">
        <f>C267/8</f>
        <v>0</v>
      </c>
      <c r="F267" s="41">
        <f>SUM(F258:F266)</f>
        <v>0</v>
      </c>
      <c r="G267" s="2"/>
      <c r="H267" s="43">
        <f>SUM(H258:H266)</f>
        <v>0</v>
      </c>
      <c r="I267" s="44">
        <f>COUNTIF(J258:J266,"&gt;0")</f>
        <v>0</v>
      </c>
      <c r="J267" s="45">
        <f>I267+J252</f>
        <v>0</v>
      </c>
      <c r="K267" s="44">
        <f>COUNTIF(L258:L266,"&gt;0")</f>
        <v>0</v>
      </c>
      <c r="L267" s="45">
        <f>K267+L252</f>
        <v>0</v>
      </c>
      <c r="M267" s="44">
        <f>COUNTIF(N258:N266,"&gt;0")</f>
        <v>0</v>
      </c>
      <c r="N267" s="45">
        <f>M267+N252</f>
        <v>0</v>
      </c>
      <c r="O267" s="44">
        <f>COUNTIF(P258:P266,"&gt;0")</f>
        <v>0</v>
      </c>
      <c r="P267" s="45">
        <f>O267+P252</f>
        <v>0</v>
      </c>
      <c r="Q267" s="44">
        <f>COUNTIF(R258:R266,"&gt;0")</f>
        <v>0</v>
      </c>
      <c r="R267" s="45">
        <f>Q267+R252</f>
        <v>0</v>
      </c>
      <c r="S267" s="44">
        <f>COUNTIF(T258:T266,"&gt;0")</f>
        <v>0</v>
      </c>
      <c r="T267" s="45">
        <f>S267+T252</f>
        <v>0</v>
      </c>
      <c r="U267" s="44">
        <f>COUNTIF(V258:V266,"&gt;0")</f>
        <v>0</v>
      </c>
      <c r="V267" s="45">
        <f>U267+V252</f>
        <v>0</v>
      </c>
      <c r="AF267" s="34"/>
      <c r="AG267" s="34"/>
      <c r="AH267" s="34"/>
      <c r="AI267" s="34"/>
      <c r="AJ267" s="34"/>
    </row>
    <row r="268" spans="3:122" ht="11.25" customHeight="1" x14ac:dyDescent="0.2">
      <c r="C268" s="41">
        <f>(I268+K268+M268+O268+Q268+S268+U268)</f>
        <v>0</v>
      </c>
      <c r="E268" s="42">
        <f>C268/8</f>
        <v>0</v>
      </c>
      <c r="F268" s="137">
        <f>F267+H267</f>
        <v>0</v>
      </c>
      <c r="G268" s="137"/>
      <c r="H268" s="137"/>
      <c r="I268" s="46">
        <f>SUM(J258:J266)</f>
        <v>0</v>
      </c>
      <c r="J268" s="47">
        <f>I268+J253</f>
        <v>0</v>
      </c>
      <c r="K268" s="46">
        <f>SUM(L258:L266)</f>
        <v>0</v>
      </c>
      <c r="L268" s="47">
        <f>K268+L253</f>
        <v>0</v>
      </c>
      <c r="M268" s="46">
        <f>SUM(N258:N266)</f>
        <v>0</v>
      </c>
      <c r="N268" s="47">
        <f>M268+N253</f>
        <v>0</v>
      </c>
      <c r="O268" s="46">
        <f>SUM(P258:P266)</f>
        <v>0</v>
      </c>
      <c r="P268" s="47">
        <f>O268+P253</f>
        <v>0</v>
      </c>
      <c r="Q268" s="46">
        <f>SUM(R258:R266)</f>
        <v>0</v>
      </c>
      <c r="R268" s="47">
        <f>Q268+R253</f>
        <v>0</v>
      </c>
      <c r="S268" s="46">
        <f>SUM(T258:T266)</f>
        <v>0</v>
      </c>
      <c r="T268" s="47">
        <f>S268+T253</f>
        <v>0</v>
      </c>
      <c r="U268" s="46">
        <f>SUM(V258:V266)</f>
        <v>0</v>
      </c>
      <c r="V268" s="47">
        <f>U268+V253</f>
        <v>0</v>
      </c>
      <c r="AF268" s="34"/>
      <c r="AG268" s="34"/>
      <c r="AH268" s="34"/>
      <c r="AI268" s="34"/>
      <c r="AJ268" s="34"/>
    </row>
    <row r="269" spans="3:122" ht="11.25" customHeight="1" thickBot="1" x14ac:dyDescent="0.25">
      <c r="C269" s="41">
        <f>(I269+K269+M269+O269+Q269+S269+U269)</f>
        <v>0</v>
      </c>
      <c r="E269" s="42">
        <f>C269/8</f>
        <v>0</v>
      </c>
      <c r="F269" s="138">
        <f>F268+F254</f>
        <v>0</v>
      </c>
      <c r="G269" s="138"/>
      <c r="H269" s="138"/>
      <c r="I269" s="48">
        <f>I267*I268</f>
        <v>0</v>
      </c>
      <c r="J269" s="49">
        <f>I269+J254</f>
        <v>0</v>
      </c>
      <c r="K269" s="48">
        <f>K267*K268</f>
        <v>0</v>
      </c>
      <c r="L269" s="49">
        <f>K269+L254</f>
        <v>0</v>
      </c>
      <c r="M269" s="48">
        <f>M267*M268</f>
        <v>0</v>
      </c>
      <c r="N269" s="49">
        <f>M269+N254</f>
        <v>0</v>
      </c>
      <c r="O269" s="48">
        <f>O267*O268</f>
        <v>0</v>
      </c>
      <c r="P269" s="49">
        <f>O269+P254</f>
        <v>0</v>
      </c>
      <c r="Q269" s="48">
        <f>Q267*Q268</f>
        <v>0</v>
      </c>
      <c r="R269" s="49">
        <f>Q269+R254</f>
        <v>0</v>
      </c>
      <c r="S269" s="48">
        <f>S267*S268</f>
        <v>0</v>
      </c>
      <c r="T269" s="49">
        <f>S269+T254</f>
        <v>0</v>
      </c>
      <c r="U269" s="48">
        <f>U267*U268</f>
        <v>0</v>
      </c>
      <c r="V269" s="49">
        <f>U269+V254</f>
        <v>0</v>
      </c>
      <c r="AF269" s="34"/>
      <c r="AG269" s="34"/>
      <c r="AH269" s="34"/>
      <c r="AI269" s="34"/>
      <c r="AJ269" s="34"/>
      <c r="AL269" s="5">
        <f>MAX(I269,K269,M269,O269,Q269,S269,U269)</f>
        <v>0</v>
      </c>
      <c r="AM269" s="5">
        <f>MIN(I269,K269,M269,O269,Q269,S269,U269)</f>
        <v>0</v>
      </c>
      <c r="AN269" s="5"/>
      <c r="AO269" s="5"/>
      <c r="AP269" s="5"/>
      <c r="AQ269" s="5"/>
      <c r="AR269" s="5"/>
      <c r="AS269" s="13"/>
      <c r="AT269" s="5"/>
      <c r="AU269" s="5"/>
      <c r="AV269" s="5"/>
      <c r="AW269" s="5"/>
      <c r="AX269" s="5"/>
      <c r="AY269" s="5"/>
      <c r="AZ269" s="5"/>
      <c r="BA269" s="5"/>
      <c r="BB269" s="5"/>
      <c r="BD269" s="5"/>
      <c r="BE269" s="5"/>
      <c r="BF269" s="14"/>
      <c r="BG269" s="13"/>
      <c r="BH269" s="5"/>
      <c r="BI269" s="14"/>
      <c r="BJ269" s="13"/>
      <c r="BK269" s="5"/>
      <c r="BL269" s="14"/>
      <c r="BM269" s="13"/>
      <c r="BN269" s="5"/>
      <c r="BO269" s="14"/>
      <c r="BP269" s="13"/>
      <c r="BQ269" s="5"/>
      <c r="BR269" s="14"/>
      <c r="BS269" s="13"/>
      <c r="BT269" s="5"/>
      <c r="BU269" s="14"/>
      <c r="BV269" s="13"/>
      <c r="BW269" s="5"/>
      <c r="BX269" s="14"/>
      <c r="BY269" s="13"/>
      <c r="BZ269" s="5"/>
      <c r="CA269" s="14"/>
      <c r="CB269" s="13"/>
      <c r="CC269" s="5"/>
      <c r="CD269" s="14"/>
      <c r="CE269" s="13"/>
      <c r="CF269" s="5"/>
      <c r="CG269" s="14"/>
      <c r="CH269" s="13"/>
      <c r="CI269" s="5"/>
      <c r="CJ269" s="14"/>
      <c r="CK269" s="13"/>
      <c r="CL269" s="5"/>
      <c r="CM269" s="14"/>
      <c r="CN269" s="13"/>
      <c r="CO269" s="5"/>
      <c r="CP269" s="14"/>
      <c r="CQ269" s="13"/>
      <c r="CR269" s="5"/>
      <c r="CS269" s="14"/>
      <c r="CT269" s="13"/>
      <c r="CU269" s="5"/>
      <c r="CV269" s="14"/>
      <c r="CW269" s="13"/>
      <c r="CX269" s="5"/>
      <c r="CY269" s="14"/>
      <c r="CZ269" s="13"/>
      <c r="DA269" s="5"/>
      <c r="DB269" s="14"/>
      <c r="DC269" s="13"/>
      <c r="DD269" s="5"/>
      <c r="DE269" s="14"/>
      <c r="DF269" s="5"/>
      <c r="DG269" s="5"/>
      <c r="DH269" s="5"/>
    </row>
    <row r="270" spans="3:122" ht="11.25" customHeight="1" thickTop="1" x14ac:dyDescent="0.2">
      <c r="I270" s="50"/>
      <c r="J270" s="50">
        <f>L269-J269</f>
        <v>0</v>
      </c>
      <c r="K270" s="50"/>
      <c r="L270" s="50"/>
      <c r="M270" s="50"/>
      <c r="N270" s="50">
        <f>L269-N269</f>
        <v>0</v>
      </c>
      <c r="O270" s="50"/>
      <c r="P270" s="50">
        <f>L269-P269</f>
        <v>0</v>
      </c>
      <c r="Q270" s="50"/>
      <c r="R270" s="50">
        <f>L269-R269</f>
        <v>0</v>
      </c>
      <c r="S270" s="50"/>
      <c r="T270" s="50">
        <f>L269-T269</f>
        <v>0</v>
      </c>
      <c r="U270" s="50"/>
      <c r="V270" s="50">
        <f>L269-V269</f>
        <v>0</v>
      </c>
    </row>
    <row r="271" spans="3:122" ht="11.25" customHeight="1" x14ac:dyDescent="0.2">
      <c r="I271" s="139" t="str">
        <f>ß101</f>
        <v>Kropp</v>
      </c>
      <c r="J271" s="139"/>
      <c r="K271" s="139" t="str">
        <f>ß102</f>
        <v>Nörnberg</v>
      </c>
      <c r="L271" s="139"/>
      <c r="M271" s="139" t="str">
        <f>ß103</f>
        <v>Bübel</v>
      </c>
      <c r="N271" s="139"/>
      <c r="O271" s="139" t="str">
        <f>ß104</f>
        <v>Schwicht.</v>
      </c>
      <c r="P271" s="139"/>
      <c r="Q271" s="139" t="str">
        <f>ß105</f>
        <v>Rontzko.</v>
      </c>
      <c r="R271" s="139"/>
      <c r="S271" s="139" t="str">
        <f>ß106</f>
        <v>Hauschildt</v>
      </c>
      <c r="T271" s="139"/>
      <c r="U271" s="139" t="str">
        <f>ß107</f>
        <v>Zerres</v>
      </c>
      <c r="V271" s="139"/>
      <c r="AF271" s="11"/>
      <c r="AG271" s="11"/>
      <c r="AH271" s="11"/>
      <c r="AI271" s="11"/>
      <c r="AJ271" s="11"/>
      <c r="AL271" s="5" t="str">
        <f>IF($I284=$AL284,I271,"x")</f>
        <v>Kropp</v>
      </c>
      <c r="AM271" s="5" t="str">
        <f>IF($K284=$AL284,K271,"x")</f>
        <v>Nörnberg</v>
      </c>
      <c r="AN271" s="5" t="str">
        <f>IF($M284=$AL284,M271,"x")</f>
        <v>Bübel</v>
      </c>
      <c r="AO271" s="5" t="str">
        <f>IF($O284=$AL284,O271,"x")</f>
        <v>Schwicht.</v>
      </c>
      <c r="AP271" s="5" t="str">
        <f>IF($Q284=$AL284,Q271,"x")</f>
        <v>Rontzko.</v>
      </c>
      <c r="AQ271" s="5" t="str">
        <f>IF($S284=$AL284,S271,"x")</f>
        <v>Hauschildt</v>
      </c>
      <c r="AR271" s="5" t="str">
        <f>IF($U284=$AL284,U271,"x")</f>
        <v>Zerres</v>
      </c>
      <c r="AS271" s="13" t="str">
        <f>IF($I284=$AM284,I271,"x")</f>
        <v>Kropp</v>
      </c>
      <c r="AT271" s="5" t="str">
        <f>IF($K284=$AM284,K271,"x")</f>
        <v>Nörnberg</v>
      </c>
      <c r="AU271" s="5" t="str">
        <f>IF($M284=$AM284,M271,"x")</f>
        <v>Bübel</v>
      </c>
      <c r="AV271" s="5" t="str">
        <f>IF($O284=$AM284,O271,"x")</f>
        <v>Schwicht.</v>
      </c>
      <c r="AW271" s="5" t="str">
        <f>IF($Q284=$AM284,Q271,"x")</f>
        <v>Rontzko.</v>
      </c>
      <c r="AX271" s="5" t="str">
        <f>IF($S284=$AM284,S271,"x")</f>
        <v>Hauschildt</v>
      </c>
      <c r="AY271" s="5" t="str">
        <f>IF($U284=$AM284,U271,"x")</f>
        <v>Zerres</v>
      </c>
      <c r="BD271" s="140" t="str">
        <f>ß01</f>
        <v>Bayern</v>
      </c>
      <c r="BE271" s="140"/>
      <c r="BF271" s="140"/>
      <c r="BG271" s="141" t="str">
        <f>ß02</f>
        <v>Leipzig</v>
      </c>
      <c r="BH271" s="141"/>
      <c r="BI271" s="141"/>
      <c r="BJ271" s="141" t="str">
        <f>ß03</f>
        <v>Leverk.</v>
      </c>
      <c r="BK271" s="141"/>
      <c r="BL271" s="141"/>
      <c r="BM271" s="141" t="str">
        <f>ß04</f>
        <v>Hoffenheim</v>
      </c>
      <c r="BN271" s="141"/>
      <c r="BO271" s="141"/>
      <c r="BP271" s="141" t="str">
        <f>ß05</f>
        <v>Frankfurt</v>
      </c>
      <c r="BQ271" s="141"/>
      <c r="BR271" s="141"/>
      <c r="BS271" s="141" t="str">
        <f>ß06</f>
        <v>Werder</v>
      </c>
      <c r="BT271" s="141"/>
      <c r="BU271" s="141"/>
      <c r="BV271" s="141" t="str">
        <f>ß07</f>
        <v>Freiburg</v>
      </c>
      <c r="BW271" s="141"/>
      <c r="BX271" s="141"/>
      <c r="BY271" s="141" t="str">
        <f>ß08</f>
        <v>Augsburg</v>
      </c>
      <c r="BZ271" s="141"/>
      <c r="CA271" s="141"/>
      <c r="CB271" s="141" t="str">
        <f>ß09</f>
        <v>Mainz</v>
      </c>
      <c r="CC271" s="141"/>
      <c r="CD271" s="141"/>
      <c r="CE271" s="141" t="str">
        <f>ß10</f>
        <v>Köln</v>
      </c>
      <c r="CF271" s="141"/>
      <c r="CG271" s="141"/>
      <c r="CH271" s="141" t="str">
        <f>ß11</f>
        <v>M'gladb.</v>
      </c>
      <c r="CI271" s="141"/>
      <c r="CJ271" s="141"/>
      <c r="CK271" s="141" t="str">
        <f>ß12</f>
        <v>HSV</v>
      </c>
      <c r="CL271" s="141"/>
      <c r="CM271" s="141"/>
      <c r="CN271" s="141" t="str">
        <f>ß13</f>
        <v>Union</v>
      </c>
      <c r="CO271" s="141"/>
      <c r="CP271" s="141"/>
      <c r="CQ271" s="141" t="str">
        <f>ß14</f>
        <v>Stuttgart</v>
      </c>
      <c r="CR271" s="141"/>
      <c r="CS271" s="141"/>
      <c r="CT271" s="141" t="str">
        <f>ß15</f>
        <v>St. Pauli</v>
      </c>
      <c r="CU271" s="141"/>
      <c r="CV271" s="141"/>
      <c r="CW271" s="141" t="str">
        <f>ß16</f>
        <v>Dortmund</v>
      </c>
      <c r="CX271" s="141"/>
      <c r="CY271" s="141"/>
      <c r="CZ271" s="141" t="str">
        <f>ß17</f>
        <v>Heidenheim</v>
      </c>
      <c r="DA271" s="141"/>
      <c r="DB271" s="141"/>
      <c r="DC271" s="141" t="str">
        <f>ß18</f>
        <v>Wolfsburg</v>
      </c>
      <c r="DD271" s="141"/>
      <c r="DE271" s="141"/>
    </row>
    <row r="272" spans="3:122" ht="11.25" customHeight="1" x14ac:dyDescent="0.2">
      <c r="C272" s="16" t="str">
        <f>Mannschaften!F19</f>
        <v>19. Spieltag</v>
      </c>
      <c r="D272" s="11"/>
      <c r="E272" s="17" t="str">
        <f>Mannschaften!G19</f>
        <v>23.1.-25.1.26</v>
      </c>
      <c r="I272" s="19">
        <f>RANK(Rang!A19,Rang!A19:G19)</f>
        <v>1</v>
      </c>
      <c r="J272" s="20">
        <f>RANK(Rang!H19,Rang!H19:N19)</f>
        <v>1</v>
      </c>
      <c r="K272" s="19">
        <f>RANK(Rang!B19,Rang!A19:G19)</f>
        <v>1</v>
      </c>
      <c r="L272" s="20">
        <f>RANK(Rang!I19,Rang!H19:N19)</f>
        <v>1</v>
      </c>
      <c r="M272" s="19">
        <f>RANK(Rang!C19,Rang!A19:G19)</f>
        <v>1</v>
      </c>
      <c r="N272" s="20">
        <f>RANK(Rang!J19,Rang!H19:N19)</f>
        <v>1</v>
      </c>
      <c r="O272" s="19">
        <f>RANK(Rang!D19,Rang!A19:G19)</f>
        <v>1</v>
      </c>
      <c r="P272" s="20">
        <f>RANK(Rang!K19,Rang!H19:N19)</f>
        <v>1</v>
      </c>
      <c r="Q272" s="19">
        <f>RANK(Rang!E19,Rang!A19:G19)</f>
        <v>1</v>
      </c>
      <c r="R272" s="20">
        <f>RANK(Rang!L19,Rang!H19:N19)</f>
        <v>1</v>
      </c>
      <c r="S272" s="19">
        <f>RANK(Rang!F19,Rang!A19:G19)</f>
        <v>1</v>
      </c>
      <c r="T272" s="20">
        <f>RANK(Rang!M19,Rang!H19:N19)</f>
        <v>1</v>
      </c>
      <c r="U272" s="19">
        <f>RANK(Rang!G19,Rang!A19:G19)</f>
        <v>1</v>
      </c>
      <c r="V272" s="20">
        <f>RANK(Rang!N19,Rang!H19:N19)</f>
        <v>1</v>
      </c>
      <c r="AF272" s="22"/>
      <c r="AG272" s="22"/>
      <c r="AH272" s="22"/>
      <c r="AI272" s="22"/>
      <c r="AJ272" s="22"/>
      <c r="AK272" s="21"/>
      <c r="AL272" s="21"/>
      <c r="AM272" s="21"/>
      <c r="AN272" s="21"/>
      <c r="AO272" s="21"/>
      <c r="AP272" s="21"/>
      <c r="AQ272" s="21"/>
      <c r="AR272" s="21"/>
      <c r="AS272" s="24"/>
      <c r="AT272" s="21"/>
      <c r="AU272" s="21"/>
      <c r="AV272" s="21"/>
      <c r="AW272" s="21"/>
      <c r="AX272" s="21"/>
      <c r="AY272" s="21"/>
      <c r="AZ272" s="21"/>
      <c r="BA272" s="21"/>
      <c r="BB272" s="21"/>
      <c r="BD272" s="25" t="s">
        <v>4</v>
      </c>
      <c r="BE272" s="25" t="s">
        <v>5</v>
      </c>
      <c r="BF272" s="26" t="s">
        <v>6</v>
      </c>
      <c r="BG272" s="27" t="s">
        <v>4</v>
      </c>
      <c r="BH272" s="25" t="s">
        <v>5</v>
      </c>
      <c r="BI272" s="26" t="s">
        <v>6</v>
      </c>
      <c r="BJ272" s="27" t="s">
        <v>4</v>
      </c>
      <c r="BK272" s="25" t="s">
        <v>5</v>
      </c>
      <c r="BL272" s="26" t="s">
        <v>6</v>
      </c>
      <c r="BM272" s="27" t="s">
        <v>4</v>
      </c>
      <c r="BN272" s="25" t="s">
        <v>5</v>
      </c>
      <c r="BO272" s="26" t="s">
        <v>6</v>
      </c>
      <c r="BP272" s="27" t="s">
        <v>4</v>
      </c>
      <c r="BQ272" s="25" t="s">
        <v>5</v>
      </c>
      <c r="BR272" s="26" t="s">
        <v>6</v>
      </c>
      <c r="BS272" s="27" t="s">
        <v>4</v>
      </c>
      <c r="BT272" s="25" t="s">
        <v>5</v>
      </c>
      <c r="BU272" s="26" t="s">
        <v>6</v>
      </c>
      <c r="BV272" s="27" t="s">
        <v>4</v>
      </c>
      <c r="BW272" s="25" t="s">
        <v>5</v>
      </c>
      <c r="BX272" s="26" t="s">
        <v>6</v>
      </c>
      <c r="BY272" s="27" t="s">
        <v>4</v>
      </c>
      <c r="BZ272" s="25" t="s">
        <v>5</v>
      </c>
      <c r="CA272" s="26" t="s">
        <v>6</v>
      </c>
      <c r="CB272" s="27" t="s">
        <v>4</v>
      </c>
      <c r="CC272" s="25" t="s">
        <v>5</v>
      </c>
      <c r="CD272" s="26" t="s">
        <v>6</v>
      </c>
      <c r="CE272" s="27" t="s">
        <v>4</v>
      </c>
      <c r="CF272" s="25" t="s">
        <v>5</v>
      </c>
      <c r="CG272" s="26" t="s">
        <v>6</v>
      </c>
      <c r="CH272" s="27" t="s">
        <v>4</v>
      </c>
      <c r="CI272" s="25" t="s">
        <v>5</v>
      </c>
      <c r="CJ272" s="26" t="s">
        <v>6</v>
      </c>
      <c r="CK272" s="27" t="s">
        <v>4</v>
      </c>
      <c r="CL272" s="25" t="s">
        <v>5</v>
      </c>
      <c r="CM272" s="26" t="s">
        <v>6</v>
      </c>
      <c r="CN272" s="27" t="s">
        <v>4</v>
      </c>
      <c r="CO272" s="25" t="s">
        <v>5</v>
      </c>
      <c r="CP272" s="26" t="s">
        <v>6</v>
      </c>
      <c r="CQ272" s="27" t="s">
        <v>4</v>
      </c>
      <c r="CR272" s="25" t="s">
        <v>5</v>
      </c>
      <c r="CS272" s="26" t="s">
        <v>6</v>
      </c>
      <c r="CT272" s="27" t="s">
        <v>4</v>
      </c>
      <c r="CU272" s="25" t="s">
        <v>5</v>
      </c>
      <c r="CV272" s="26" t="s">
        <v>6</v>
      </c>
      <c r="CW272" s="27" t="s">
        <v>4</v>
      </c>
      <c r="CX272" s="25" t="s">
        <v>5</v>
      </c>
      <c r="CY272" s="26" t="s">
        <v>6</v>
      </c>
      <c r="CZ272" s="27" t="s">
        <v>4</v>
      </c>
      <c r="DA272" s="25" t="s">
        <v>5</v>
      </c>
      <c r="DB272" s="26" t="s">
        <v>6</v>
      </c>
      <c r="DC272" s="27" t="s">
        <v>4</v>
      </c>
      <c r="DD272" s="25" t="s">
        <v>5</v>
      </c>
      <c r="DE272" s="26" t="s">
        <v>6</v>
      </c>
      <c r="DF272" s="21"/>
      <c r="DG272" s="21"/>
      <c r="DH272" s="21"/>
      <c r="DN272" s="136" t="s">
        <v>7</v>
      </c>
      <c r="DO272" s="136"/>
      <c r="DP272" s="136" t="s">
        <v>8</v>
      </c>
      <c r="DQ272" s="136"/>
      <c r="DR272" s="28"/>
    </row>
    <row r="273" spans="3:122" ht="11.25" customHeight="1" x14ac:dyDescent="0.2">
      <c r="C273" s="2" t="str">
        <f t="shared" ref="C273:C281" si="259">E18</f>
        <v>Union</v>
      </c>
      <c r="D273" s="3" t="s">
        <v>11</v>
      </c>
      <c r="E273" s="2" t="str">
        <f t="shared" ref="E273:E281" si="260">C18</f>
        <v>Dortmund</v>
      </c>
      <c r="F273" s="29"/>
      <c r="G273" s="3" t="s">
        <v>12</v>
      </c>
      <c r="H273" s="30"/>
      <c r="I273" s="31"/>
      <c r="J273" s="32" t="str">
        <f t="shared" ref="J273:J281" si="261">IF($F273="","",(IF(I273="","",IF(I273=$DG273,(VLOOKUP($DH273,$DJ$3:$DK$11,2,FALSE())),0))))</f>
        <v/>
      </c>
      <c r="K273" s="31"/>
      <c r="L273" s="32" t="str">
        <f t="shared" ref="L273:L281" si="262">IF($F273="","",(IF(K273="","",IF(K273=$DG273,(VLOOKUP($DH273,$DJ$3:$DK$11,2,FALSE())),0))))</f>
        <v/>
      </c>
      <c r="M273" s="31"/>
      <c r="N273" s="32" t="str">
        <f t="shared" ref="N273:N281" si="263">IF($F273="","",(IF(M273="","",IF(M273=$DG273,(VLOOKUP($DH273,$DJ$3:$DK$11,2,FALSE())),0))))</f>
        <v/>
      </c>
      <c r="O273" s="31"/>
      <c r="P273" s="32" t="str">
        <f t="shared" ref="P273:P281" si="264">IF($F273="","",(IF(O273="","",IF(O273=$DG273,(VLOOKUP($DH273,$DJ$3:$DK$11,2,FALSE())),0))))</f>
        <v/>
      </c>
      <c r="Q273" s="31"/>
      <c r="R273" s="32" t="str">
        <f t="shared" ref="R273:R281" si="265">IF($F273="","",(IF(Q273="","",IF(Q273=$DG273,(VLOOKUP($DH273,$DJ$3:$DK$11,2,FALSE())),0))))</f>
        <v/>
      </c>
      <c r="S273" s="31"/>
      <c r="T273" s="32" t="str">
        <f t="shared" ref="T273:T281" si="266">IF($F273="","",(IF(S273="","",IF(S273=$DG273,(VLOOKUP($DH273,$DJ$3:$DK$11,2,FALSE())),0))))</f>
        <v/>
      </c>
      <c r="U273" s="31"/>
      <c r="V273" s="32" t="str">
        <f t="shared" ref="V273:V281" si="267">IF($F273="","",(IF(U273="","",IF(U273=$DG273,(VLOOKUP($DH273,$DJ$3:$DK$11,2,FALSE())),0))))</f>
        <v/>
      </c>
      <c r="AF273" s="34"/>
      <c r="AG273" s="34"/>
      <c r="AH273" s="34"/>
      <c r="AI273" s="34"/>
      <c r="AJ273" s="34"/>
      <c r="AN273" s="5"/>
      <c r="AO273" s="5"/>
      <c r="AP273" s="5"/>
      <c r="AQ273" s="5"/>
      <c r="AR273" s="5"/>
      <c r="AS273" s="13"/>
      <c r="AT273" s="5"/>
      <c r="AU273" s="5"/>
      <c r="AV273" s="5"/>
      <c r="AW273" s="5"/>
      <c r="AX273" s="5"/>
      <c r="AY273" s="5"/>
      <c r="BC273" s="6">
        <v>272</v>
      </c>
      <c r="BD273" s="35">
        <f>IF(ISERROR(MATCH(ß01,$C273:$C281,0)),"",MATCH(ß01,$C273:$C281,0))</f>
        <v>6</v>
      </c>
      <c r="BE273" s="35" t="str">
        <f>IF(ISERROR(MATCH(ß01,$E273:$E281,0)),"",MATCH(ß01,$E273:$E281,0))</f>
        <v/>
      </c>
      <c r="BF273" s="15">
        <f>SUM(BD273:BE273)+BC273</f>
        <v>278</v>
      </c>
      <c r="BG273" s="36" t="str">
        <f>IF(ISERROR(MATCH(ß02,$C273:$C281,0)),"",MATCH(ß02,$C273:$C281,0))</f>
        <v/>
      </c>
      <c r="BH273" s="35">
        <f>IF(ISERROR(MATCH(ß02,$E273:$E281,0)),"",MATCH(ß02,$E273:$E281,0))</f>
        <v>2</v>
      </c>
      <c r="BI273" s="15">
        <f>SUM(BG273:BH273)+BC273</f>
        <v>274</v>
      </c>
      <c r="BJ273" s="36">
        <f>IF(ISERROR(MATCH(ß03,$C273:$C281,0)),"",MATCH(ß03,$C273:$C281,0))</f>
        <v>3</v>
      </c>
      <c r="BK273" s="35" t="str">
        <f>IF(ISERROR(MATCH(ß03,$E273:$E281,0)),"",MATCH(ß03,$E273:$E281,0))</f>
        <v/>
      </c>
      <c r="BL273" s="15">
        <f>SUM(BJ273:BK273)+BC273</f>
        <v>275</v>
      </c>
      <c r="BM273" s="36" t="str">
        <f>IF(ISERROR(MATCH(ß04,$C273:$C281,0)),"",MATCH(ß04,$C273:$C281,0))</f>
        <v/>
      </c>
      <c r="BN273" s="35">
        <f>IF(ISERROR(MATCH(ß04,$E273:$E281,0)),"",MATCH(ß04,$E273:$E281,0))</f>
        <v>7</v>
      </c>
      <c r="BO273" s="15">
        <f>SUM(BM273:BN273)+BC273</f>
        <v>279</v>
      </c>
      <c r="BP273" s="36">
        <f>IF(ISERROR(MATCH(ß05,$C273:$C281,0)),"",MATCH(ß05,$C273:$C281,0))</f>
        <v>7</v>
      </c>
      <c r="BQ273" s="35" t="str">
        <f>IF(ISERROR(MATCH(ß05,$E273:$E281,0)),"",MATCH(ß05,$E273:$E281,0))</f>
        <v/>
      </c>
      <c r="BR273" s="15">
        <f>SUM(BP273:BQ273)+BC273</f>
        <v>279</v>
      </c>
      <c r="BS273" s="36" t="str">
        <f>IF(ISERROR(MATCH(ß06,$C273:$C281,0)),"",MATCH(ß06,$C273:$C281,0))</f>
        <v/>
      </c>
      <c r="BT273" s="35">
        <f>IF(ISERROR(MATCH(ß06,$E273:$E281,0)),"",MATCH(ß06,$E273:$E281,0))</f>
        <v>3</v>
      </c>
      <c r="BU273" s="15">
        <f>SUM(BS273:BT273)+BC273</f>
        <v>275</v>
      </c>
      <c r="BV273" s="36">
        <f>IF(ISERROR(MATCH(ß07,$C273:$C281,0)),"",MATCH(ß07,$C273:$C281,0))</f>
        <v>8</v>
      </c>
      <c r="BW273" s="35" t="str">
        <f>IF(ISERROR(MATCH(ß07,$E273:$E281,0)),"",MATCH(ß07,$E273:$E281,0))</f>
        <v/>
      </c>
      <c r="BX273" s="15">
        <f>SUM(BV273:BW273)+BC273</f>
        <v>280</v>
      </c>
      <c r="BY273" s="36" t="str">
        <f>IF(ISERROR(MATCH(ß08,$C273:$C281,0)),"",MATCH(ß08,$C273:$C281,0))</f>
        <v/>
      </c>
      <c r="BZ273" s="35">
        <f>IF(ISERROR(MATCH(ß08,$E273:$E281,0)),"",MATCH(ß08,$E273:$E281,0))</f>
        <v>6</v>
      </c>
      <c r="CA273" s="15">
        <f>SUM(BY273:BZ273)+BC273</f>
        <v>278</v>
      </c>
      <c r="CB273" s="36">
        <f>IF(ISERROR(MATCH(ß09,$C273:$C281,0)),"",MATCH(ß09,$C273:$C281,0))</f>
        <v>5</v>
      </c>
      <c r="CC273" s="35" t="str">
        <f>IF(ISERROR(MATCH(ß09,$E273:$E281,0)),"",MATCH(ß09,$E273:$E281,0))</f>
        <v/>
      </c>
      <c r="CD273" s="15">
        <f>SUM(CB273:CC273)+BC273</f>
        <v>277</v>
      </c>
      <c r="CE273" s="36" t="str">
        <f>IF(ISERROR(MATCH(ß10,$C273:$C281,0)),"",MATCH(ß10,$C273:$C281,0))</f>
        <v/>
      </c>
      <c r="CF273" s="35">
        <f>IF(ISERROR(MATCH(ß10,$E273:$E281,0)),"",MATCH(ß10,$E273:$E281,0))</f>
        <v>8</v>
      </c>
      <c r="CG273" s="15">
        <f>SUM(CE273:CF273)+BC273</f>
        <v>280</v>
      </c>
      <c r="CH273" s="36">
        <f>IF(ISERROR(MATCH(ß11,$C273:$C281,0)),"",MATCH(ß11,$C273:$C281,0))</f>
        <v>4</v>
      </c>
      <c r="CI273" s="35" t="str">
        <f>IF(ISERROR(MATCH(ß11,$E273:$E281,0)),"",MATCH(ß11,$E273:$E281,0))</f>
        <v/>
      </c>
      <c r="CJ273" s="15">
        <f>SUM(CH273:CI273)+BC273</f>
        <v>276</v>
      </c>
      <c r="CK273" s="36" t="str">
        <f>IF(ISERROR(MATCH(ß12,$C273:$C281,0)),"",MATCH(ß12,$C273:$C281,0))</f>
        <v/>
      </c>
      <c r="CL273" s="35">
        <f>IF(ISERROR(MATCH(ß12,$E273:$E281,0)),"",MATCH(ß12,$E273:$E281,0))</f>
        <v>9</v>
      </c>
      <c r="CM273" s="15">
        <f>SUM(CK273:CL273)+BC273</f>
        <v>281</v>
      </c>
      <c r="CN273" s="36">
        <f>IF(ISERROR(MATCH(ß13,$C273:$C281,0)),"",MATCH(ß13,$C273:$C281,0))</f>
        <v>1</v>
      </c>
      <c r="CO273" s="35" t="str">
        <f>IF(ISERROR(MATCH(ß13,$E273:$E281,0)),"",MATCH(ß13,$E273:$E281,0))</f>
        <v/>
      </c>
      <c r="CP273" s="15">
        <f>SUM(CN273:CO273)+BC273</f>
        <v>273</v>
      </c>
      <c r="CQ273" s="36" t="str">
        <f>IF(ISERROR(MATCH(ß14,$C273:$C281,0)),"",MATCH(ß14,$C273:$C281,0))</f>
        <v/>
      </c>
      <c r="CR273" s="35">
        <f>IF(ISERROR(MATCH(ß14,$E273:$E281,0)),"",MATCH(ß14,$E273:$E281,0))</f>
        <v>4</v>
      </c>
      <c r="CS273" s="15">
        <f>SUM(CQ273:CR273)+BC273</f>
        <v>276</v>
      </c>
      <c r="CT273" s="36">
        <f>IF(ISERROR(MATCH(ß15,$C273:$C281,0)),"",MATCH(ß15,$C273:$C281,0))</f>
        <v>9</v>
      </c>
      <c r="CU273" s="35" t="str">
        <f>IF(ISERROR(MATCH(ß15,$E273:$E281,0)),"",MATCH(ß15,$E273:$E281,0))</f>
        <v/>
      </c>
      <c r="CV273" s="15">
        <f>SUM(CT273:CU273)+BC273</f>
        <v>281</v>
      </c>
      <c r="CW273" s="36" t="str">
        <f>IF(ISERROR(MATCH(ß16,$C273:$C281,0)),"",MATCH(ß16,$C273:$C281,0))</f>
        <v/>
      </c>
      <c r="CX273" s="35">
        <f>IF(ISERROR(MATCH(ß16,$E273:$E281,0)),"",MATCH(ß16,$E273:$E281,0))</f>
        <v>1</v>
      </c>
      <c r="CY273" s="15">
        <f>SUM(CW273:CX273)+BC273</f>
        <v>273</v>
      </c>
      <c r="CZ273" s="36">
        <f>IF(ISERROR(MATCH(ß17,$C273:$C281,0)),"",MATCH(ß17,$C273:$C281,0))</f>
        <v>2</v>
      </c>
      <c r="DA273" s="35" t="str">
        <f>IF(ISERROR(MATCH(ß17,$E273:$E281,0)),"",MATCH(ß17,$E273:$E281,0))</f>
        <v/>
      </c>
      <c r="DB273" s="15">
        <f>SUM(CZ273:DA273)+BC273</f>
        <v>274</v>
      </c>
      <c r="DC273" s="36" t="str">
        <f>IF(ISERROR(MATCH(ß18,$C273:$C281,0)),"",MATCH(ß18,$C273:$C281,0))</f>
        <v/>
      </c>
      <c r="DD273" s="35">
        <f>IF(ISERROR(MATCH(ß18,$E273:$E281,0)),"",MATCH(ß18,$E273:$E281,0))</f>
        <v>5</v>
      </c>
      <c r="DE273" s="15">
        <f>SUM(DC273:DD273)+BC273</f>
        <v>277</v>
      </c>
      <c r="DG273" s="8" t="str">
        <f t="shared" ref="DG273:DG281" si="268">IF(F273="","",(IF(F273=H273,0,IF(F273&gt;H273,1,IF(F273&lt;H273,2)))))</f>
        <v/>
      </c>
      <c r="DH273" s="3">
        <f>COUNTIF(I273,DG273)+COUNTIF(K273,DG273)+COUNTIF(M273,DG273)+COUNTIF(O273,DG273)+COUNTIF(Q273,DG273)+COUNTIF(S273,DG273)+COUNTIF(U273,DG273)</f>
        <v>7</v>
      </c>
      <c r="DN273" s="12">
        <f t="shared" ref="DN273:DN281" si="269">F273</f>
        <v>0</v>
      </c>
      <c r="DO273" s="5">
        <f t="shared" ref="DO273:DO281" si="270">H273</f>
        <v>0</v>
      </c>
      <c r="DP273" s="5" t="str">
        <f t="shared" ref="DP273:DP281" si="271">IF($F273="","",IF(DN273&gt;DO273,3,IF(DN273&lt;DO273,0,1)))</f>
        <v/>
      </c>
      <c r="DQ273" s="5" t="str">
        <f t="shared" ref="DQ273:DQ281" si="272">IF($H273="","",IF(DO273&gt;DN273,3,IF(DO273&lt;DN273,0,1)))</f>
        <v/>
      </c>
      <c r="DR273" s="5">
        <f t="shared" ref="DR273:DR281" si="273">IF(ISBLANK(F273),0,1)</f>
        <v>0</v>
      </c>
    </row>
    <row r="274" spans="3:122" ht="11.25" customHeight="1" x14ac:dyDescent="0.2">
      <c r="C274" s="2" t="str">
        <f t="shared" si="259"/>
        <v>Heidenheim</v>
      </c>
      <c r="D274" s="3" t="s">
        <v>11</v>
      </c>
      <c r="E274" s="2" t="str">
        <f t="shared" si="260"/>
        <v>Leipzig</v>
      </c>
      <c r="F274" s="29"/>
      <c r="G274" s="3" t="s">
        <v>12</v>
      </c>
      <c r="H274" s="30"/>
      <c r="I274" s="37"/>
      <c r="J274" s="38" t="str">
        <f t="shared" si="261"/>
        <v/>
      </c>
      <c r="K274" s="37"/>
      <c r="L274" s="38" t="str">
        <f t="shared" si="262"/>
        <v/>
      </c>
      <c r="M274" s="37"/>
      <c r="N274" s="38" t="str">
        <f t="shared" si="263"/>
        <v/>
      </c>
      <c r="O274" s="37"/>
      <c r="P274" s="38" t="str">
        <f t="shared" si="264"/>
        <v/>
      </c>
      <c r="Q274" s="37"/>
      <c r="R274" s="38" t="str">
        <f t="shared" si="265"/>
        <v/>
      </c>
      <c r="S274" s="37"/>
      <c r="T274" s="38" t="str">
        <f t="shared" si="266"/>
        <v/>
      </c>
      <c r="U274" s="37"/>
      <c r="V274" s="38" t="str">
        <f t="shared" si="267"/>
        <v/>
      </c>
      <c r="AF274" s="34"/>
      <c r="AG274" s="34"/>
      <c r="AH274" s="34"/>
      <c r="AI274" s="34"/>
      <c r="AJ274" s="34"/>
      <c r="DG274" s="8" t="str">
        <f t="shared" si="268"/>
        <v/>
      </c>
      <c r="DH274" s="3">
        <f t="shared" ref="DH274:DH281" si="274">COUNTIF(I274,DG274)+COUNTIF(K274,DG274)+COUNTIF(M274,DG274)+COUNTIF(O274,DG274)+COUNTIF(Q274,DG274)+COUNTIF(S274,DG274)+COUNTIF(U274,DG274)</f>
        <v>7</v>
      </c>
      <c r="DN274" s="12">
        <f t="shared" si="269"/>
        <v>0</v>
      </c>
      <c r="DO274" s="5">
        <f t="shared" si="270"/>
        <v>0</v>
      </c>
      <c r="DP274" s="5" t="str">
        <f t="shared" si="271"/>
        <v/>
      </c>
      <c r="DQ274" s="5" t="str">
        <f t="shared" si="272"/>
        <v/>
      </c>
      <c r="DR274" s="5">
        <f t="shared" si="273"/>
        <v>0</v>
      </c>
    </row>
    <row r="275" spans="3:122" ht="11.25" customHeight="1" x14ac:dyDescent="0.2">
      <c r="C275" s="2" t="str">
        <f t="shared" si="259"/>
        <v>Leverk.</v>
      </c>
      <c r="D275" s="3" t="s">
        <v>11</v>
      </c>
      <c r="E275" s="2" t="str">
        <f t="shared" si="260"/>
        <v>Werder</v>
      </c>
      <c r="F275" s="29"/>
      <c r="G275" s="3" t="s">
        <v>12</v>
      </c>
      <c r="H275" s="30"/>
      <c r="I275" s="37"/>
      <c r="J275" s="38" t="str">
        <f t="shared" si="261"/>
        <v/>
      </c>
      <c r="K275" s="37"/>
      <c r="L275" s="38" t="str">
        <f t="shared" si="262"/>
        <v/>
      </c>
      <c r="M275" s="37"/>
      <c r="N275" s="38" t="str">
        <f t="shared" si="263"/>
        <v/>
      </c>
      <c r="O275" s="37"/>
      <c r="P275" s="38" t="str">
        <f t="shared" si="264"/>
        <v/>
      </c>
      <c r="Q275" s="37"/>
      <c r="R275" s="38" t="str">
        <f t="shared" si="265"/>
        <v/>
      </c>
      <c r="S275" s="37"/>
      <c r="T275" s="38" t="str">
        <f t="shared" si="266"/>
        <v/>
      </c>
      <c r="U275" s="37"/>
      <c r="V275" s="38" t="str">
        <f t="shared" si="267"/>
        <v/>
      </c>
      <c r="AF275" s="34"/>
      <c r="AG275" s="34"/>
      <c r="AH275" s="34"/>
      <c r="AI275" s="34"/>
      <c r="AJ275" s="34"/>
      <c r="DG275" s="8" t="str">
        <f t="shared" si="268"/>
        <v/>
      </c>
      <c r="DH275" s="3">
        <f t="shared" si="274"/>
        <v>7</v>
      </c>
      <c r="DN275" s="12">
        <f t="shared" si="269"/>
        <v>0</v>
      </c>
      <c r="DO275" s="5">
        <f t="shared" si="270"/>
        <v>0</v>
      </c>
      <c r="DP275" s="5" t="str">
        <f t="shared" si="271"/>
        <v/>
      </c>
      <c r="DQ275" s="5" t="str">
        <f t="shared" si="272"/>
        <v/>
      </c>
      <c r="DR275" s="5">
        <f t="shared" si="273"/>
        <v>0</v>
      </c>
    </row>
    <row r="276" spans="3:122" ht="11.25" customHeight="1" x14ac:dyDescent="0.2">
      <c r="C276" s="2" t="str">
        <f t="shared" si="259"/>
        <v>M'gladb.</v>
      </c>
      <c r="D276" s="3" t="s">
        <v>11</v>
      </c>
      <c r="E276" s="2" t="str">
        <f t="shared" si="260"/>
        <v>Stuttgart</v>
      </c>
      <c r="F276" s="29"/>
      <c r="G276" s="3" t="s">
        <v>12</v>
      </c>
      <c r="H276" s="30"/>
      <c r="I276" s="37"/>
      <c r="J276" s="38" t="str">
        <f t="shared" si="261"/>
        <v/>
      </c>
      <c r="K276" s="37"/>
      <c r="L276" s="38" t="str">
        <f t="shared" si="262"/>
        <v/>
      </c>
      <c r="M276" s="37"/>
      <c r="N276" s="38" t="str">
        <f t="shared" si="263"/>
        <v/>
      </c>
      <c r="O276" s="37"/>
      <c r="P276" s="38" t="str">
        <f t="shared" si="264"/>
        <v/>
      </c>
      <c r="Q276" s="37"/>
      <c r="R276" s="38" t="str">
        <f t="shared" si="265"/>
        <v/>
      </c>
      <c r="S276" s="37"/>
      <c r="T276" s="38" t="str">
        <f t="shared" si="266"/>
        <v/>
      </c>
      <c r="U276" s="37"/>
      <c r="V276" s="38" t="str">
        <f t="shared" si="267"/>
        <v/>
      </c>
      <c r="AF276" s="34"/>
      <c r="AG276" s="34"/>
      <c r="AH276" s="34"/>
      <c r="AI276" s="34"/>
      <c r="AJ276" s="34"/>
      <c r="DG276" s="8" t="str">
        <f t="shared" si="268"/>
        <v/>
      </c>
      <c r="DH276" s="3">
        <f t="shared" si="274"/>
        <v>7</v>
      </c>
      <c r="DN276" s="12">
        <f t="shared" si="269"/>
        <v>0</v>
      </c>
      <c r="DO276" s="5">
        <f t="shared" si="270"/>
        <v>0</v>
      </c>
      <c r="DP276" s="5" t="str">
        <f t="shared" si="271"/>
        <v/>
      </c>
      <c r="DQ276" s="5" t="str">
        <f t="shared" si="272"/>
        <v/>
      </c>
      <c r="DR276" s="5">
        <f t="shared" si="273"/>
        <v>0</v>
      </c>
    </row>
    <row r="277" spans="3:122" ht="11.25" customHeight="1" x14ac:dyDescent="0.2">
      <c r="C277" s="2" t="str">
        <f t="shared" si="259"/>
        <v>Mainz</v>
      </c>
      <c r="D277" s="3" t="s">
        <v>11</v>
      </c>
      <c r="E277" s="2" t="str">
        <f t="shared" si="260"/>
        <v>Wolfsburg</v>
      </c>
      <c r="F277" s="29"/>
      <c r="G277" s="3" t="s">
        <v>12</v>
      </c>
      <c r="H277" s="30"/>
      <c r="I277" s="37"/>
      <c r="J277" s="38" t="str">
        <f t="shared" si="261"/>
        <v/>
      </c>
      <c r="K277" s="37"/>
      <c r="L277" s="38" t="str">
        <f t="shared" si="262"/>
        <v/>
      </c>
      <c r="M277" s="37"/>
      <c r="N277" s="38" t="str">
        <f t="shared" si="263"/>
        <v/>
      </c>
      <c r="O277" s="37"/>
      <c r="P277" s="38" t="str">
        <f t="shared" si="264"/>
        <v/>
      </c>
      <c r="Q277" s="37"/>
      <c r="R277" s="38" t="str">
        <f t="shared" si="265"/>
        <v/>
      </c>
      <c r="S277" s="37"/>
      <c r="T277" s="38" t="str">
        <f t="shared" si="266"/>
        <v/>
      </c>
      <c r="U277" s="37"/>
      <c r="V277" s="38" t="str">
        <f t="shared" si="267"/>
        <v/>
      </c>
      <c r="AF277" s="34"/>
      <c r="AG277" s="34"/>
      <c r="AH277" s="34"/>
      <c r="AI277" s="34"/>
      <c r="AJ277" s="34"/>
      <c r="DG277" s="8" t="str">
        <f t="shared" si="268"/>
        <v/>
      </c>
      <c r="DH277" s="3">
        <f t="shared" si="274"/>
        <v>7</v>
      </c>
      <c r="DN277" s="12">
        <f t="shared" si="269"/>
        <v>0</v>
      </c>
      <c r="DO277" s="5">
        <f t="shared" si="270"/>
        <v>0</v>
      </c>
      <c r="DP277" s="5" t="str">
        <f t="shared" si="271"/>
        <v/>
      </c>
      <c r="DQ277" s="5" t="str">
        <f t="shared" si="272"/>
        <v/>
      </c>
      <c r="DR277" s="5">
        <f t="shared" si="273"/>
        <v>0</v>
      </c>
    </row>
    <row r="278" spans="3:122" ht="11.25" customHeight="1" x14ac:dyDescent="0.2">
      <c r="C278" s="2" t="str">
        <f t="shared" si="259"/>
        <v>Bayern</v>
      </c>
      <c r="D278" s="3" t="s">
        <v>11</v>
      </c>
      <c r="E278" s="2" t="str">
        <f t="shared" si="260"/>
        <v>Augsburg</v>
      </c>
      <c r="F278" s="29"/>
      <c r="G278" s="3" t="s">
        <v>12</v>
      </c>
      <c r="H278" s="30"/>
      <c r="I278" s="37"/>
      <c r="J278" s="38" t="str">
        <f t="shared" si="261"/>
        <v/>
      </c>
      <c r="K278" s="37"/>
      <c r="L278" s="38" t="str">
        <f t="shared" si="262"/>
        <v/>
      </c>
      <c r="M278" s="37"/>
      <c r="N278" s="38" t="str">
        <f t="shared" si="263"/>
        <v/>
      </c>
      <c r="O278" s="37"/>
      <c r="P278" s="38" t="str">
        <f t="shared" si="264"/>
        <v/>
      </c>
      <c r="Q278" s="37"/>
      <c r="R278" s="38" t="str">
        <f t="shared" si="265"/>
        <v/>
      </c>
      <c r="S278" s="37"/>
      <c r="T278" s="38" t="str">
        <f t="shared" si="266"/>
        <v/>
      </c>
      <c r="U278" s="37"/>
      <c r="V278" s="38" t="str">
        <f t="shared" si="267"/>
        <v/>
      </c>
      <c r="AF278" s="34"/>
      <c r="AG278" s="34"/>
      <c r="AH278" s="34"/>
      <c r="AI278" s="34"/>
      <c r="AJ278" s="34"/>
      <c r="DG278" s="8" t="str">
        <f t="shared" si="268"/>
        <v/>
      </c>
      <c r="DH278" s="3">
        <f t="shared" si="274"/>
        <v>7</v>
      </c>
      <c r="DN278" s="12">
        <f t="shared" si="269"/>
        <v>0</v>
      </c>
      <c r="DO278" s="5">
        <f t="shared" si="270"/>
        <v>0</v>
      </c>
      <c r="DP278" s="5" t="str">
        <f t="shared" si="271"/>
        <v/>
      </c>
      <c r="DQ278" s="5" t="str">
        <f t="shared" si="272"/>
        <v/>
      </c>
      <c r="DR278" s="5">
        <f t="shared" si="273"/>
        <v>0</v>
      </c>
    </row>
    <row r="279" spans="3:122" ht="11.25" customHeight="1" x14ac:dyDescent="0.2">
      <c r="C279" s="2" t="str">
        <f t="shared" si="259"/>
        <v>Frankfurt</v>
      </c>
      <c r="D279" s="3" t="s">
        <v>11</v>
      </c>
      <c r="E279" s="2" t="str">
        <f t="shared" si="260"/>
        <v>Hoffenheim</v>
      </c>
      <c r="F279" s="29"/>
      <c r="G279" s="3" t="s">
        <v>12</v>
      </c>
      <c r="H279" s="30"/>
      <c r="I279" s="37"/>
      <c r="J279" s="38" t="str">
        <f t="shared" si="261"/>
        <v/>
      </c>
      <c r="K279" s="37"/>
      <c r="L279" s="38" t="str">
        <f t="shared" si="262"/>
        <v/>
      </c>
      <c r="M279" s="37"/>
      <c r="N279" s="38" t="str">
        <f t="shared" si="263"/>
        <v/>
      </c>
      <c r="O279" s="37"/>
      <c r="P279" s="38" t="str">
        <f t="shared" si="264"/>
        <v/>
      </c>
      <c r="Q279" s="37"/>
      <c r="R279" s="38" t="str">
        <f t="shared" si="265"/>
        <v/>
      </c>
      <c r="S279" s="37"/>
      <c r="T279" s="38" t="str">
        <f t="shared" si="266"/>
        <v/>
      </c>
      <c r="U279" s="37"/>
      <c r="V279" s="38" t="str">
        <f t="shared" si="267"/>
        <v/>
      </c>
      <c r="AF279" s="34"/>
      <c r="AG279" s="34"/>
      <c r="AH279" s="34"/>
      <c r="AI279" s="34"/>
      <c r="AJ279" s="34"/>
      <c r="DG279" s="8" t="str">
        <f t="shared" si="268"/>
        <v/>
      </c>
      <c r="DH279" s="3">
        <f t="shared" si="274"/>
        <v>7</v>
      </c>
      <c r="DN279" s="12">
        <f t="shared" si="269"/>
        <v>0</v>
      </c>
      <c r="DO279" s="5">
        <f t="shared" si="270"/>
        <v>0</v>
      </c>
      <c r="DP279" s="5" t="str">
        <f t="shared" si="271"/>
        <v/>
      </c>
      <c r="DQ279" s="5" t="str">
        <f t="shared" si="272"/>
        <v/>
      </c>
      <c r="DR279" s="5">
        <f t="shared" si="273"/>
        <v>0</v>
      </c>
    </row>
    <row r="280" spans="3:122" ht="11.25" customHeight="1" x14ac:dyDescent="0.2">
      <c r="C280" s="2" t="str">
        <f t="shared" si="259"/>
        <v>Freiburg</v>
      </c>
      <c r="D280" s="3" t="s">
        <v>11</v>
      </c>
      <c r="E280" s="2" t="str">
        <f t="shared" si="260"/>
        <v>Köln</v>
      </c>
      <c r="F280" s="29"/>
      <c r="G280" s="3" t="s">
        <v>12</v>
      </c>
      <c r="H280" s="30"/>
      <c r="I280" s="37"/>
      <c r="J280" s="38" t="str">
        <f t="shared" si="261"/>
        <v/>
      </c>
      <c r="K280" s="37"/>
      <c r="L280" s="38" t="str">
        <f t="shared" si="262"/>
        <v/>
      </c>
      <c r="M280" s="37"/>
      <c r="N280" s="38" t="str">
        <f t="shared" si="263"/>
        <v/>
      </c>
      <c r="O280" s="37"/>
      <c r="P280" s="38" t="str">
        <f t="shared" si="264"/>
        <v/>
      </c>
      <c r="Q280" s="37"/>
      <c r="R280" s="38" t="str">
        <f t="shared" si="265"/>
        <v/>
      </c>
      <c r="S280" s="37"/>
      <c r="T280" s="38" t="str">
        <f t="shared" si="266"/>
        <v/>
      </c>
      <c r="U280" s="37"/>
      <c r="V280" s="38" t="str">
        <f t="shared" si="267"/>
        <v/>
      </c>
      <c r="AF280" s="34"/>
      <c r="AG280" s="34"/>
      <c r="AH280" s="34"/>
      <c r="AI280" s="34"/>
      <c r="AJ280" s="34"/>
      <c r="DG280" s="8" t="str">
        <f t="shared" si="268"/>
        <v/>
      </c>
      <c r="DH280" s="3">
        <f t="shared" si="274"/>
        <v>7</v>
      </c>
      <c r="DN280" s="12">
        <f t="shared" si="269"/>
        <v>0</v>
      </c>
      <c r="DO280" s="5">
        <f t="shared" si="270"/>
        <v>0</v>
      </c>
      <c r="DP280" s="5" t="str">
        <f t="shared" si="271"/>
        <v/>
      </c>
      <c r="DQ280" s="5" t="str">
        <f t="shared" si="272"/>
        <v/>
      </c>
      <c r="DR280" s="5">
        <f t="shared" si="273"/>
        <v>0</v>
      </c>
    </row>
    <row r="281" spans="3:122" ht="11.25" customHeight="1" thickBot="1" x14ac:dyDescent="0.25">
      <c r="C281" s="2" t="str">
        <f t="shared" si="259"/>
        <v>St. Pauli</v>
      </c>
      <c r="D281" s="3" t="s">
        <v>11</v>
      </c>
      <c r="E281" s="2" t="str">
        <f t="shared" si="260"/>
        <v>HSV</v>
      </c>
      <c r="F281" s="29"/>
      <c r="G281" s="3" t="s">
        <v>12</v>
      </c>
      <c r="H281" s="30"/>
      <c r="I281" s="37"/>
      <c r="J281" s="38" t="str">
        <f t="shared" si="261"/>
        <v/>
      </c>
      <c r="K281" s="37"/>
      <c r="L281" s="38" t="str">
        <f t="shared" si="262"/>
        <v/>
      </c>
      <c r="M281" s="37"/>
      <c r="N281" s="38" t="str">
        <f t="shared" si="263"/>
        <v/>
      </c>
      <c r="O281" s="37"/>
      <c r="P281" s="38" t="str">
        <f t="shared" si="264"/>
        <v/>
      </c>
      <c r="Q281" s="37"/>
      <c r="R281" s="38" t="str">
        <f t="shared" si="265"/>
        <v/>
      </c>
      <c r="S281" s="37"/>
      <c r="T281" s="38" t="str">
        <f t="shared" si="266"/>
        <v/>
      </c>
      <c r="U281" s="37"/>
      <c r="V281" s="38" t="str">
        <f t="shared" si="267"/>
        <v/>
      </c>
      <c r="AF281" s="34"/>
      <c r="AG281" s="34"/>
      <c r="AH281" s="34"/>
      <c r="AI281" s="34"/>
      <c r="AJ281" s="34"/>
      <c r="DG281" s="8" t="str">
        <f t="shared" si="268"/>
        <v/>
      </c>
      <c r="DH281" s="3">
        <f t="shared" si="274"/>
        <v>7</v>
      </c>
      <c r="DN281" s="12">
        <f t="shared" si="269"/>
        <v>0</v>
      </c>
      <c r="DO281" s="5">
        <f t="shared" si="270"/>
        <v>0</v>
      </c>
      <c r="DP281" s="5" t="str">
        <f t="shared" si="271"/>
        <v/>
      </c>
      <c r="DQ281" s="5" t="str">
        <f t="shared" si="272"/>
        <v/>
      </c>
      <c r="DR281" s="5">
        <f t="shared" si="273"/>
        <v>0</v>
      </c>
    </row>
    <row r="282" spans="3:122" ht="11.25" customHeight="1" thickTop="1" x14ac:dyDescent="0.2">
      <c r="C282" s="41">
        <f>(I282+K282+M282+O282+Q282+S282+U282)</f>
        <v>0</v>
      </c>
      <c r="E282" s="42">
        <f>C282/8</f>
        <v>0</v>
      </c>
      <c r="F282" s="41">
        <f>SUM(F273:F281)</f>
        <v>0</v>
      </c>
      <c r="G282" s="2"/>
      <c r="H282" s="43">
        <f>SUM(H273:H281)</f>
        <v>0</v>
      </c>
      <c r="I282" s="44">
        <f>COUNTIF(J273:J281,"&gt;0")</f>
        <v>0</v>
      </c>
      <c r="J282" s="45">
        <f>I282+J267</f>
        <v>0</v>
      </c>
      <c r="K282" s="44">
        <f>COUNTIF(L273:L281,"&gt;0")</f>
        <v>0</v>
      </c>
      <c r="L282" s="45">
        <f>K282+L267</f>
        <v>0</v>
      </c>
      <c r="M282" s="44">
        <f>COUNTIF(N273:N281,"&gt;0")</f>
        <v>0</v>
      </c>
      <c r="N282" s="45">
        <f>M282+N267</f>
        <v>0</v>
      </c>
      <c r="O282" s="44">
        <f>COUNTIF(P273:P281,"&gt;0")</f>
        <v>0</v>
      </c>
      <c r="P282" s="45">
        <f>O282+P267</f>
        <v>0</v>
      </c>
      <c r="Q282" s="44">
        <f>COUNTIF(R273:R281,"&gt;0")</f>
        <v>0</v>
      </c>
      <c r="R282" s="45">
        <f>Q282+R267</f>
        <v>0</v>
      </c>
      <c r="S282" s="44">
        <f>COUNTIF(T273:T281,"&gt;0")</f>
        <v>0</v>
      </c>
      <c r="T282" s="45">
        <f>S282+T267</f>
        <v>0</v>
      </c>
      <c r="U282" s="44">
        <f>COUNTIF(V273:V281,"&gt;0")</f>
        <v>0</v>
      </c>
      <c r="V282" s="45">
        <f>U282+V267</f>
        <v>0</v>
      </c>
      <c r="AF282" s="34"/>
      <c r="AG282" s="34"/>
      <c r="AH282" s="34"/>
      <c r="AI282" s="34"/>
      <c r="AJ282" s="34"/>
      <c r="DN282" s="12"/>
    </row>
    <row r="283" spans="3:122" ht="11.25" customHeight="1" x14ac:dyDescent="0.2">
      <c r="C283" s="41">
        <f>(I283+K283+M283+O283+Q283+S283+U283)</f>
        <v>0</v>
      </c>
      <c r="E283" s="42">
        <f>C283/8</f>
        <v>0</v>
      </c>
      <c r="F283" s="137">
        <f>F282+H282</f>
        <v>0</v>
      </c>
      <c r="G283" s="137"/>
      <c r="H283" s="137"/>
      <c r="I283" s="46">
        <f>SUM(J273:J281)</f>
        <v>0</v>
      </c>
      <c r="J283" s="47">
        <f>I283+J268</f>
        <v>0</v>
      </c>
      <c r="K283" s="46">
        <f>SUM(L273:L281)</f>
        <v>0</v>
      </c>
      <c r="L283" s="47">
        <f>K283+L268</f>
        <v>0</v>
      </c>
      <c r="M283" s="46">
        <f>SUM(N273:N281)</f>
        <v>0</v>
      </c>
      <c r="N283" s="47">
        <f>M283+N268</f>
        <v>0</v>
      </c>
      <c r="O283" s="46">
        <f>SUM(P273:P281)</f>
        <v>0</v>
      </c>
      <c r="P283" s="47">
        <f>O283+P268</f>
        <v>0</v>
      </c>
      <c r="Q283" s="46">
        <f>SUM(R273:R281)</f>
        <v>0</v>
      </c>
      <c r="R283" s="47">
        <f>Q283+R268</f>
        <v>0</v>
      </c>
      <c r="S283" s="46">
        <f>SUM(T273:T281)</f>
        <v>0</v>
      </c>
      <c r="T283" s="47">
        <f>S283+T268</f>
        <v>0</v>
      </c>
      <c r="U283" s="46">
        <f>SUM(V273:V281)</f>
        <v>0</v>
      </c>
      <c r="V283" s="47">
        <f>U283+V268</f>
        <v>0</v>
      </c>
      <c r="AF283" s="34"/>
      <c r="AG283" s="34"/>
      <c r="AH283" s="34"/>
      <c r="AI283" s="34"/>
      <c r="AJ283" s="34"/>
      <c r="DN283" s="12"/>
    </row>
    <row r="284" spans="3:122" ht="11.25" customHeight="1" thickBot="1" x14ac:dyDescent="0.25">
      <c r="C284" s="41">
        <f>(I284+K284+M284+O284+Q284+S284+U284)</f>
        <v>0</v>
      </c>
      <c r="E284" s="42">
        <f>C284/8</f>
        <v>0</v>
      </c>
      <c r="F284" s="138">
        <f>F283+F269</f>
        <v>0</v>
      </c>
      <c r="G284" s="138"/>
      <c r="H284" s="138"/>
      <c r="I284" s="48">
        <f>I282*I283</f>
        <v>0</v>
      </c>
      <c r="J284" s="49">
        <f>I284+J269</f>
        <v>0</v>
      </c>
      <c r="K284" s="48">
        <f>K282*K283</f>
        <v>0</v>
      </c>
      <c r="L284" s="49">
        <f>K284+L269</f>
        <v>0</v>
      </c>
      <c r="M284" s="48">
        <f>M282*M283</f>
        <v>0</v>
      </c>
      <c r="N284" s="49">
        <f>M284+N269</f>
        <v>0</v>
      </c>
      <c r="O284" s="48">
        <f>O282*O283</f>
        <v>0</v>
      </c>
      <c r="P284" s="49">
        <f>O284+P269</f>
        <v>0</v>
      </c>
      <c r="Q284" s="48">
        <f>Q282*Q283</f>
        <v>0</v>
      </c>
      <c r="R284" s="49">
        <f>Q284+R269</f>
        <v>0</v>
      </c>
      <c r="S284" s="48">
        <f>S282*S283</f>
        <v>0</v>
      </c>
      <c r="T284" s="49">
        <f>S284+T269</f>
        <v>0</v>
      </c>
      <c r="U284" s="48">
        <f>U282*U283</f>
        <v>0</v>
      </c>
      <c r="V284" s="49">
        <f>U284+V269</f>
        <v>0</v>
      </c>
      <c r="AF284" s="34"/>
      <c r="AG284" s="34"/>
      <c r="AH284" s="34"/>
      <c r="AI284" s="34"/>
      <c r="AJ284" s="34"/>
      <c r="AL284" s="5">
        <f>MAX(I284,K284,M284,O284,Q284,S284,U284)</f>
        <v>0</v>
      </c>
      <c r="AM284" s="5">
        <f>MIN(I284,K284,M284,O284,Q284,S284,U284)</f>
        <v>0</v>
      </c>
      <c r="AN284" s="5"/>
      <c r="AO284" s="5"/>
      <c r="AP284" s="5"/>
      <c r="AQ284" s="5"/>
      <c r="AR284" s="5"/>
      <c r="AS284" s="13"/>
      <c r="AT284" s="5"/>
      <c r="AU284" s="5"/>
      <c r="AV284" s="5"/>
      <c r="AW284" s="5"/>
      <c r="AX284" s="5"/>
      <c r="AY284" s="5"/>
      <c r="AZ284" s="5"/>
      <c r="BA284" s="5"/>
      <c r="BB284" s="5"/>
      <c r="BD284" s="5"/>
      <c r="BE284" s="5"/>
      <c r="BF284" s="14"/>
      <c r="BG284" s="13"/>
      <c r="BH284" s="5"/>
      <c r="BI284" s="14"/>
      <c r="BJ284" s="13"/>
      <c r="BK284" s="5"/>
      <c r="BL284" s="14"/>
      <c r="BM284" s="13"/>
      <c r="BN284" s="5"/>
      <c r="BO284" s="14"/>
      <c r="BP284" s="13"/>
      <c r="BQ284" s="5"/>
      <c r="BR284" s="14"/>
      <c r="BS284" s="13"/>
      <c r="BT284" s="5"/>
      <c r="BU284" s="14"/>
      <c r="BV284" s="13"/>
      <c r="BW284" s="5"/>
      <c r="BX284" s="14"/>
      <c r="BY284" s="13"/>
      <c r="BZ284" s="5"/>
      <c r="CA284" s="14"/>
      <c r="CB284" s="13"/>
      <c r="CC284" s="5"/>
      <c r="CD284" s="14"/>
      <c r="CE284" s="13"/>
      <c r="CF284" s="5"/>
      <c r="CG284" s="14"/>
      <c r="CH284" s="13"/>
      <c r="CI284" s="5"/>
      <c r="CJ284" s="14"/>
      <c r="CK284" s="13"/>
      <c r="CL284" s="5"/>
      <c r="CM284" s="14"/>
      <c r="CN284" s="13"/>
      <c r="CO284" s="5"/>
      <c r="CP284" s="14"/>
      <c r="CQ284" s="13"/>
      <c r="CR284" s="5"/>
      <c r="CS284" s="14"/>
      <c r="CT284" s="13"/>
      <c r="CU284" s="5"/>
      <c r="CV284" s="14"/>
      <c r="CW284" s="13"/>
      <c r="CX284" s="5"/>
      <c r="CY284" s="14"/>
      <c r="CZ284" s="13"/>
      <c r="DA284" s="5"/>
      <c r="DB284" s="14"/>
      <c r="DC284" s="13"/>
      <c r="DD284" s="5"/>
      <c r="DE284" s="14"/>
      <c r="DF284" s="5"/>
      <c r="DG284" s="5"/>
      <c r="DH284" s="5"/>
      <c r="DN284" s="12"/>
    </row>
    <row r="285" spans="3:122" ht="11.25" customHeight="1" thickTop="1" x14ac:dyDescent="0.2">
      <c r="I285" s="50"/>
      <c r="J285" s="50">
        <f>L284-J284</f>
        <v>0</v>
      </c>
      <c r="K285" s="50"/>
      <c r="L285" s="50"/>
      <c r="M285" s="50"/>
      <c r="N285" s="50">
        <f>L284-N284</f>
        <v>0</v>
      </c>
      <c r="O285" s="50"/>
      <c r="P285" s="50">
        <f>L284-P284</f>
        <v>0</v>
      </c>
      <c r="Q285" s="50"/>
      <c r="R285" s="50">
        <f>L284-R284</f>
        <v>0</v>
      </c>
      <c r="S285" s="50"/>
      <c r="T285" s="50">
        <f>L284-T284</f>
        <v>0</v>
      </c>
      <c r="U285" s="50"/>
      <c r="V285" s="50">
        <f>L284-V284</f>
        <v>0</v>
      </c>
    </row>
    <row r="286" spans="3:122" ht="11.25" customHeight="1" x14ac:dyDescent="0.2">
      <c r="I286" s="139" t="str">
        <f>ß101</f>
        <v>Kropp</v>
      </c>
      <c r="J286" s="139"/>
      <c r="K286" s="139" t="str">
        <f>ß102</f>
        <v>Nörnberg</v>
      </c>
      <c r="L286" s="139"/>
      <c r="M286" s="139" t="str">
        <f>ß103</f>
        <v>Bübel</v>
      </c>
      <c r="N286" s="139"/>
      <c r="O286" s="139" t="str">
        <f>ß104</f>
        <v>Schwicht.</v>
      </c>
      <c r="P286" s="139"/>
      <c r="Q286" s="139" t="str">
        <f>ß105</f>
        <v>Rontzko.</v>
      </c>
      <c r="R286" s="139"/>
      <c r="S286" s="139" t="str">
        <f>ß106</f>
        <v>Hauschildt</v>
      </c>
      <c r="T286" s="139"/>
      <c r="U286" s="139" t="str">
        <f>ß107</f>
        <v>Zerres</v>
      </c>
      <c r="V286" s="139"/>
      <c r="AF286" s="11"/>
      <c r="AG286" s="11"/>
      <c r="AH286" s="11"/>
      <c r="AI286" s="11"/>
      <c r="AJ286" s="11"/>
      <c r="AL286" s="5" t="str">
        <f>IF($I299=$AL299,I286,"x")</f>
        <v>Kropp</v>
      </c>
      <c r="AM286" s="5" t="str">
        <f>IF($K299=$AL299,K286,"x")</f>
        <v>Nörnberg</v>
      </c>
      <c r="AN286" s="5" t="str">
        <f>IF($M299=$AL299,M286,"x")</f>
        <v>Bübel</v>
      </c>
      <c r="AO286" s="5" t="str">
        <f>IF($O299=$AL299,O286,"x")</f>
        <v>Schwicht.</v>
      </c>
      <c r="AP286" s="5" t="str">
        <f>IF($Q299=$AL299,Q286,"x")</f>
        <v>Rontzko.</v>
      </c>
      <c r="AQ286" s="5" t="str">
        <f>IF($S299=$AL299,S286,"x")</f>
        <v>Hauschildt</v>
      </c>
      <c r="AR286" s="5" t="str">
        <f>IF($U299=$AL299,U286,"x")</f>
        <v>Zerres</v>
      </c>
      <c r="AS286" s="13" t="str">
        <f>IF($I299=$AM299,I286,"x")</f>
        <v>Kropp</v>
      </c>
      <c r="AT286" s="5" t="str">
        <f>IF($K299=$AM299,K286,"x")</f>
        <v>Nörnberg</v>
      </c>
      <c r="AU286" s="5" t="str">
        <f>IF($M299=$AM299,M286,"x")</f>
        <v>Bübel</v>
      </c>
      <c r="AV286" s="5" t="str">
        <f>IF($O299=$AM299,O286,"x")</f>
        <v>Schwicht.</v>
      </c>
      <c r="AW286" s="5" t="str">
        <f>IF($Q299=$AM299,Q286,"x")</f>
        <v>Rontzko.</v>
      </c>
      <c r="AX286" s="5" t="str">
        <f>IF($S299=$AM299,S286,"x")</f>
        <v>Hauschildt</v>
      </c>
      <c r="AY286" s="5" t="str">
        <f>IF($U299=$AM299,U286,"x")</f>
        <v>Zerres</v>
      </c>
      <c r="BD286" s="140" t="str">
        <f>ß01</f>
        <v>Bayern</v>
      </c>
      <c r="BE286" s="140"/>
      <c r="BF286" s="140"/>
      <c r="BG286" s="141" t="str">
        <f>ß02</f>
        <v>Leipzig</v>
      </c>
      <c r="BH286" s="141"/>
      <c r="BI286" s="141"/>
      <c r="BJ286" s="141" t="str">
        <f>ß03</f>
        <v>Leverk.</v>
      </c>
      <c r="BK286" s="141"/>
      <c r="BL286" s="141"/>
      <c r="BM286" s="141" t="str">
        <f>ß04</f>
        <v>Hoffenheim</v>
      </c>
      <c r="BN286" s="141"/>
      <c r="BO286" s="141"/>
      <c r="BP286" s="141" t="str">
        <f>ß05</f>
        <v>Frankfurt</v>
      </c>
      <c r="BQ286" s="141"/>
      <c r="BR286" s="141"/>
      <c r="BS286" s="141" t="str">
        <f>ß06</f>
        <v>Werder</v>
      </c>
      <c r="BT286" s="141"/>
      <c r="BU286" s="141"/>
      <c r="BV286" s="141" t="str">
        <f>ß07</f>
        <v>Freiburg</v>
      </c>
      <c r="BW286" s="141"/>
      <c r="BX286" s="141"/>
      <c r="BY286" s="141" t="str">
        <f>ß08</f>
        <v>Augsburg</v>
      </c>
      <c r="BZ286" s="141"/>
      <c r="CA286" s="141"/>
      <c r="CB286" s="141" t="str">
        <f>ß09</f>
        <v>Mainz</v>
      </c>
      <c r="CC286" s="141"/>
      <c r="CD286" s="141"/>
      <c r="CE286" s="141" t="str">
        <f>ß10</f>
        <v>Köln</v>
      </c>
      <c r="CF286" s="141"/>
      <c r="CG286" s="141"/>
      <c r="CH286" s="141" t="str">
        <f>ß11</f>
        <v>M'gladb.</v>
      </c>
      <c r="CI286" s="141"/>
      <c r="CJ286" s="141"/>
      <c r="CK286" s="141" t="str">
        <f>ß12</f>
        <v>HSV</v>
      </c>
      <c r="CL286" s="141"/>
      <c r="CM286" s="141"/>
      <c r="CN286" s="141" t="str">
        <f>ß13</f>
        <v>Union</v>
      </c>
      <c r="CO286" s="141"/>
      <c r="CP286" s="141"/>
      <c r="CQ286" s="141" t="str">
        <f>ß14</f>
        <v>Stuttgart</v>
      </c>
      <c r="CR286" s="141"/>
      <c r="CS286" s="141"/>
      <c r="CT286" s="141" t="str">
        <f>ß15</f>
        <v>St. Pauli</v>
      </c>
      <c r="CU286" s="141"/>
      <c r="CV286" s="141"/>
      <c r="CW286" s="141" t="str">
        <f>ß16</f>
        <v>Dortmund</v>
      </c>
      <c r="CX286" s="141"/>
      <c r="CY286" s="141"/>
      <c r="CZ286" s="141" t="str">
        <f>ß17</f>
        <v>Heidenheim</v>
      </c>
      <c r="DA286" s="141"/>
      <c r="DB286" s="141"/>
      <c r="DC286" s="141" t="str">
        <f>ß18</f>
        <v>Wolfsburg</v>
      </c>
      <c r="DD286" s="141"/>
      <c r="DE286" s="141"/>
      <c r="DN286" s="12"/>
    </row>
    <row r="287" spans="3:122" ht="11.25" customHeight="1" x14ac:dyDescent="0.2">
      <c r="C287" s="16" t="str">
        <f>Mannschaften!F20</f>
        <v>20. Spieltag</v>
      </c>
      <c r="D287" s="11"/>
      <c r="E287" s="17" t="str">
        <f>Mannschaften!G20</f>
        <v>30.1.-1.2.26</v>
      </c>
      <c r="I287" s="19">
        <f>RANK(Rang!A20,Rang!A20:G20)</f>
        <v>1</v>
      </c>
      <c r="J287" s="20">
        <f>RANK(Rang!H20,Rang!H20:N20)</f>
        <v>1</v>
      </c>
      <c r="K287" s="19">
        <f>RANK(Rang!B20,Rang!A20:G20)</f>
        <v>1</v>
      </c>
      <c r="L287" s="20">
        <f>RANK(Rang!I20,Rang!H20:N20)</f>
        <v>1</v>
      </c>
      <c r="M287" s="19">
        <f>RANK(Rang!C20,Rang!A20:G20)</f>
        <v>1</v>
      </c>
      <c r="N287" s="20">
        <f>RANK(Rang!J20,Rang!H20:N20)</f>
        <v>1</v>
      </c>
      <c r="O287" s="19">
        <f>RANK(Rang!D20,Rang!A20:G20)</f>
        <v>1</v>
      </c>
      <c r="P287" s="20">
        <f>RANK(Rang!K20,Rang!H20:N20)</f>
        <v>1</v>
      </c>
      <c r="Q287" s="19">
        <f>RANK(Rang!E20,Rang!A20:G20)</f>
        <v>1</v>
      </c>
      <c r="R287" s="20">
        <f>RANK(Rang!L20,Rang!H20:N20)</f>
        <v>1</v>
      </c>
      <c r="S287" s="19">
        <f>RANK(Rang!F20,Rang!A20:G20)</f>
        <v>1</v>
      </c>
      <c r="T287" s="20">
        <f>RANK(Rang!M20,Rang!H20:N20)</f>
        <v>1</v>
      </c>
      <c r="U287" s="19">
        <f>RANK(Rang!G20,Rang!A20:G20)</f>
        <v>1</v>
      </c>
      <c r="V287" s="20">
        <f>RANK(Rang!N20,Rang!H20:N20)</f>
        <v>1</v>
      </c>
      <c r="AF287" s="22"/>
      <c r="AG287" s="22"/>
      <c r="AH287" s="22"/>
      <c r="AI287" s="22"/>
      <c r="AJ287" s="22"/>
      <c r="AK287" s="21"/>
      <c r="AL287" s="21"/>
      <c r="AM287" s="21"/>
      <c r="AN287" s="21"/>
      <c r="AO287" s="21"/>
      <c r="AP287" s="21"/>
      <c r="AQ287" s="21"/>
      <c r="AR287" s="21"/>
      <c r="AS287" s="24"/>
      <c r="AT287" s="21"/>
      <c r="AU287" s="21"/>
      <c r="AV287" s="21"/>
      <c r="AW287" s="21"/>
      <c r="AX287" s="21"/>
      <c r="AY287" s="21"/>
      <c r="AZ287" s="21"/>
      <c r="BA287" s="21"/>
      <c r="BB287" s="21"/>
      <c r="BD287" s="25" t="s">
        <v>4</v>
      </c>
      <c r="BE287" s="25" t="s">
        <v>5</v>
      </c>
      <c r="BF287" s="26" t="s">
        <v>6</v>
      </c>
      <c r="BG287" s="27" t="s">
        <v>4</v>
      </c>
      <c r="BH287" s="25" t="s">
        <v>5</v>
      </c>
      <c r="BI287" s="26" t="s">
        <v>6</v>
      </c>
      <c r="BJ287" s="27" t="s">
        <v>4</v>
      </c>
      <c r="BK287" s="25" t="s">
        <v>5</v>
      </c>
      <c r="BL287" s="26" t="s">
        <v>6</v>
      </c>
      <c r="BM287" s="27" t="s">
        <v>4</v>
      </c>
      <c r="BN287" s="25" t="s">
        <v>5</v>
      </c>
      <c r="BO287" s="26" t="s">
        <v>6</v>
      </c>
      <c r="BP287" s="27" t="s">
        <v>4</v>
      </c>
      <c r="BQ287" s="25" t="s">
        <v>5</v>
      </c>
      <c r="BR287" s="26" t="s">
        <v>6</v>
      </c>
      <c r="BS287" s="27" t="s">
        <v>4</v>
      </c>
      <c r="BT287" s="25" t="s">
        <v>5</v>
      </c>
      <c r="BU287" s="26" t="s">
        <v>6</v>
      </c>
      <c r="BV287" s="27" t="s">
        <v>4</v>
      </c>
      <c r="BW287" s="25" t="s">
        <v>5</v>
      </c>
      <c r="BX287" s="26" t="s">
        <v>6</v>
      </c>
      <c r="BY287" s="27" t="s">
        <v>4</v>
      </c>
      <c r="BZ287" s="25" t="s">
        <v>5</v>
      </c>
      <c r="CA287" s="26" t="s">
        <v>6</v>
      </c>
      <c r="CB287" s="27" t="s">
        <v>4</v>
      </c>
      <c r="CC287" s="25" t="s">
        <v>5</v>
      </c>
      <c r="CD287" s="26" t="s">
        <v>6</v>
      </c>
      <c r="CE287" s="27" t="s">
        <v>4</v>
      </c>
      <c r="CF287" s="25" t="s">
        <v>5</v>
      </c>
      <c r="CG287" s="26" t="s">
        <v>6</v>
      </c>
      <c r="CH287" s="27" t="s">
        <v>4</v>
      </c>
      <c r="CI287" s="25" t="s">
        <v>5</v>
      </c>
      <c r="CJ287" s="26" t="s">
        <v>6</v>
      </c>
      <c r="CK287" s="27" t="s">
        <v>4</v>
      </c>
      <c r="CL287" s="25" t="s">
        <v>5</v>
      </c>
      <c r="CM287" s="26" t="s">
        <v>6</v>
      </c>
      <c r="CN287" s="27" t="s">
        <v>4</v>
      </c>
      <c r="CO287" s="25" t="s">
        <v>5</v>
      </c>
      <c r="CP287" s="26" t="s">
        <v>6</v>
      </c>
      <c r="CQ287" s="27" t="s">
        <v>4</v>
      </c>
      <c r="CR287" s="25" t="s">
        <v>5</v>
      </c>
      <c r="CS287" s="26" t="s">
        <v>6</v>
      </c>
      <c r="CT287" s="27" t="s">
        <v>4</v>
      </c>
      <c r="CU287" s="25" t="s">
        <v>5</v>
      </c>
      <c r="CV287" s="26" t="s">
        <v>6</v>
      </c>
      <c r="CW287" s="27" t="s">
        <v>4</v>
      </c>
      <c r="CX287" s="25" t="s">
        <v>5</v>
      </c>
      <c r="CY287" s="26" t="s">
        <v>6</v>
      </c>
      <c r="CZ287" s="27" t="s">
        <v>4</v>
      </c>
      <c r="DA287" s="25" t="s">
        <v>5</v>
      </c>
      <c r="DB287" s="26" t="s">
        <v>6</v>
      </c>
      <c r="DC287" s="27" t="s">
        <v>4</v>
      </c>
      <c r="DD287" s="25" t="s">
        <v>5</v>
      </c>
      <c r="DE287" s="26" t="s">
        <v>6</v>
      </c>
      <c r="DF287" s="21"/>
      <c r="DG287" s="21"/>
      <c r="DH287" s="21"/>
      <c r="DN287" s="136" t="s">
        <v>7</v>
      </c>
      <c r="DO287" s="136"/>
      <c r="DP287" s="136" t="s">
        <v>8</v>
      </c>
      <c r="DQ287" s="136"/>
      <c r="DR287" s="28"/>
    </row>
    <row r="288" spans="3:122" ht="11.25" customHeight="1" x14ac:dyDescent="0.2">
      <c r="C288" s="2" t="str">
        <f t="shared" ref="C288:C296" si="275">E33</f>
        <v>HSV</v>
      </c>
      <c r="D288" s="3" t="s">
        <v>11</v>
      </c>
      <c r="E288" s="2" t="str">
        <f t="shared" ref="E288:E296" si="276">C33</f>
        <v>Bayern</v>
      </c>
      <c r="F288" s="29"/>
      <c r="G288" s="3" t="s">
        <v>12</v>
      </c>
      <c r="H288" s="30"/>
      <c r="I288" s="31"/>
      <c r="J288" s="32" t="str">
        <f t="shared" ref="J288:J296" si="277">IF($F288="","",(IF(I288="","",IF(I288=$DG288,(VLOOKUP($DH288,$DJ$3:$DK$11,2,FALSE())),0))))</f>
        <v/>
      </c>
      <c r="K288" s="31"/>
      <c r="L288" s="32" t="str">
        <f t="shared" ref="L288:L296" si="278">IF($F288="","",(IF(K288="","",IF(K288=$DG288,(VLOOKUP($DH288,$DJ$3:$DK$11,2,FALSE())),0))))</f>
        <v/>
      </c>
      <c r="M288" s="31"/>
      <c r="N288" s="32" t="str">
        <f t="shared" ref="N288:N296" si="279">IF($F288="","",(IF(M288="","",IF(M288=$DG288,(VLOOKUP($DH288,$DJ$3:$DK$11,2,FALSE())),0))))</f>
        <v/>
      </c>
      <c r="O288" s="31"/>
      <c r="P288" s="32" t="str">
        <f t="shared" ref="P288:P296" si="280">IF($F288="","",(IF(O288="","",IF(O288=$DG288,(VLOOKUP($DH288,$DJ$3:$DK$11,2,FALSE())),0))))</f>
        <v/>
      </c>
      <c r="Q288" s="31"/>
      <c r="R288" s="32" t="str">
        <f t="shared" ref="R288:R296" si="281">IF($F288="","",(IF(Q288="","",IF(Q288=$DG288,(VLOOKUP($DH288,$DJ$3:$DK$11,2,FALSE())),0))))</f>
        <v/>
      </c>
      <c r="S288" s="31"/>
      <c r="T288" s="32" t="str">
        <f t="shared" ref="T288:T296" si="282">IF($F288="","",(IF(S288="","",IF(S288=$DG288,(VLOOKUP($DH288,$DJ$3:$DK$11,2,FALSE())),0))))</f>
        <v/>
      </c>
      <c r="U288" s="31"/>
      <c r="V288" s="32" t="str">
        <f t="shared" ref="V288:V296" si="283">IF($F288="","",(IF(U288="","",IF(U288=$DG288,(VLOOKUP($DH288,$DJ$3:$DK$11,2,FALSE())),0))))</f>
        <v/>
      </c>
      <c r="AF288" s="34"/>
      <c r="AG288" s="34"/>
      <c r="AH288" s="34"/>
      <c r="AI288" s="34"/>
      <c r="AJ288" s="34"/>
      <c r="AN288" s="5"/>
      <c r="AO288" s="5"/>
      <c r="AP288" s="5"/>
      <c r="AQ288" s="5"/>
      <c r="AR288" s="5"/>
      <c r="AS288" s="13"/>
      <c r="AT288" s="5"/>
      <c r="AU288" s="5"/>
      <c r="AV288" s="5"/>
      <c r="AW288" s="5"/>
      <c r="AX288" s="5"/>
      <c r="AY288" s="5"/>
      <c r="BC288" s="6">
        <v>287</v>
      </c>
      <c r="BD288" s="35" t="str">
        <f>IF(ISERROR(MATCH(ß01,$C288:$C296,0)),"",MATCH(ß01,$C288:$C296,0))</f>
        <v/>
      </c>
      <c r="BE288" s="35">
        <f>IF(ISERROR(MATCH(ß01,$E288:$E296,0)),"",MATCH(ß01,$E288:$E296,0))</f>
        <v>1</v>
      </c>
      <c r="BF288" s="15">
        <f>SUM(BD288:BE288)+BC288</f>
        <v>288</v>
      </c>
      <c r="BG288" s="36">
        <f>IF(ISERROR(MATCH(ß02,$C288:$C296,0)),"",MATCH(ß02,$C288:$C296,0))</f>
        <v>4</v>
      </c>
      <c r="BH288" s="35" t="str">
        <f>IF(ISERROR(MATCH(ß02,$E288:$E296,0)),"",MATCH(ß02,$E288:$E296,0))</f>
        <v/>
      </c>
      <c r="BI288" s="15">
        <f>SUM(BG288:BH288)+BC288</f>
        <v>291</v>
      </c>
      <c r="BJ288" s="36" t="str">
        <f>IF(ISERROR(MATCH(ß03,$C288:$C296,0)),"",MATCH(ß03,$C288:$C296,0))</f>
        <v/>
      </c>
      <c r="BK288" s="35">
        <f>IF(ISERROR(MATCH(ß03,$E288:$E296,0)),"",MATCH(ß03,$E288:$E296,0))</f>
        <v>2</v>
      </c>
      <c r="BL288" s="15">
        <f>SUM(BJ288:BK288)+BC288</f>
        <v>289</v>
      </c>
      <c r="BM288" s="36">
        <f>IF(ISERROR(MATCH(ß04,$C288:$C296,0)),"",MATCH(ß04,$C288:$C296,0))</f>
        <v>7</v>
      </c>
      <c r="BN288" s="35" t="str">
        <f>IF(ISERROR(MATCH(ß04,$E288:$E296,0)),"",MATCH(ß04,$E288:$E296,0))</f>
        <v/>
      </c>
      <c r="BO288" s="15">
        <f>SUM(BM288:BN288)+BC288</f>
        <v>294</v>
      </c>
      <c r="BP288" s="36">
        <f>IF(ISERROR(MATCH(ß05,$C288:$C296,0)),"",MATCH(ß05,$C288:$C296,0))</f>
        <v>2</v>
      </c>
      <c r="BQ288" s="35" t="str">
        <f>IF(ISERROR(MATCH(ß05,$E288:$E296,0)),"",MATCH(ß05,$E288:$E296,0))</f>
        <v/>
      </c>
      <c r="BR288" s="15">
        <f>SUM(BP288:BQ288)+BC288</f>
        <v>289</v>
      </c>
      <c r="BS288" s="36">
        <f>IF(ISERROR(MATCH(ß06,$C288:$C296,0)),"",MATCH(ß06,$C288:$C296,0))</f>
        <v>5</v>
      </c>
      <c r="BT288" s="35" t="str">
        <f>IF(ISERROR(MATCH(ß06,$E288:$E296,0)),"",MATCH(ß06,$E288:$E296,0))</f>
        <v/>
      </c>
      <c r="BU288" s="15">
        <f>SUM(BS288:BT288)+BC288</f>
        <v>292</v>
      </c>
      <c r="BV288" s="36" t="str">
        <f>IF(ISERROR(MATCH(ß07,$C288:$C296,0)),"",MATCH(ß07,$C288:$C296,0))</f>
        <v/>
      </c>
      <c r="BW288" s="35">
        <f>IF(ISERROR(MATCH(ß07,$E288:$E296,0)),"",MATCH(ß07,$E288:$E296,0))</f>
        <v>3</v>
      </c>
      <c r="BX288" s="15">
        <f>SUM(BV288:BW288)+BC288</f>
        <v>290</v>
      </c>
      <c r="BY288" s="36">
        <f>IF(ISERROR(MATCH(ß08,$C288:$C296,0)),"",MATCH(ß08,$C288:$C296,0))</f>
        <v>8</v>
      </c>
      <c r="BZ288" s="35" t="str">
        <f>IF(ISERROR(MATCH(ß08,$E288:$E296,0)),"",MATCH(ß08,$E288:$E296,0))</f>
        <v/>
      </c>
      <c r="CA288" s="15">
        <f>SUM(BY288:BZ288)+BC288</f>
        <v>295</v>
      </c>
      <c r="CB288" s="36" t="str">
        <f>IF(ISERROR(MATCH(ß09,$C288:$C296,0)),"",MATCH(ß09,$C288:$C296,0))</f>
        <v/>
      </c>
      <c r="CC288" s="35">
        <f>IF(ISERROR(MATCH(ß09,$E288:$E296,0)),"",MATCH(ß09,$E288:$E296,0))</f>
        <v>4</v>
      </c>
      <c r="CD288" s="15">
        <f>SUM(CB288:CC288)+BC288</f>
        <v>291</v>
      </c>
      <c r="CE288" s="36">
        <f>IF(ISERROR(MATCH(ß10,$C288:$C296,0)),"",MATCH(ß10,$C288:$C296,0))</f>
        <v>6</v>
      </c>
      <c r="CF288" s="35" t="str">
        <f>IF(ISERROR(MATCH(ß10,$E288:$E296,0)),"",MATCH(ß10,$E288:$E296,0))</f>
        <v/>
      </c>
      <c r="CG288" s="15">
        <f>SUM(CE288:CF288)+BC288</f>
        <v>293</v>
      </c>
      <c r="CH288" s="36" t="str">
        <f>IF(ISERROR(MATCH(ß11,$C288:$C296,0)),"",MATCH(ß11,$C288:$C296,0))</f>
        <v/>
      </c>
      <c r="CI288" s="35">
        <f>IF(ISERROR(MATCH(ß11,$E288:$E296,0)),"",MATCH(ß11,$E288:$E296,0))</f>
        <v>5</v>
      </c>
      <c r="CJ288" s="15">
        <f>SUM(CH288:CI288)+BC288</f>
        <v>292</v>
      </c>
      <c r="CK288" s="36">
        <f>IF(ISERROR(MATCH(ß12,$C288:$C296,0)),"",MATCH(ß12,$C288:$C296,0))</f>
        <v>1</v>
      </c>
      <c r="CL288" s="35" t="str">
        <f>IF(ISERROR(MATCH(ß12,$E288:$E296,0)),"",MATCH(ß12,$E288:$E296,0))</f>
        <v/>
      </c>
      <c r="CM288" s="15">
        <f>SUM(CK288:CL288)+BC288</f>
        <v>288</v>
      </c>
      <c r="CN288" s="36" t="str">
        <f>IF(ISERROR(MATCH(ß13,$C288:$C296,0)),"",MATCH(ß13,$C288:$C296,0))</f>
        <v/>
      </c>
      <c r="CO288" s="35">
        <f>IF(ISERROR(MATCH(ß13,$E288:$E296,0)),"",MATCH(ß13,$E288:$E296,0))</f>
        <v>7</v>
      </c>
      <c r="CP288" s="15">
        <f>SUM(CN288:CO288)+BC288</f>
        <v>294</v>
      </c>
      <c r="CQ288" s="36">
        <f>IF(ISERROR(MATCH(ß14,$C288:$C296,0)),"",MATCH(ß14,$C288:$C296,0))</f>
        <v>3</v>
      </c>
      <c r="CR288" s="35" t="str">
        <f>IF(ISERROR(MATCH(ß14,$E288:$E296,0)),"",MATCH(ß14,$E288:$E296,0))</f>
        <v/>
      </c>
      <c r="CS288" s="15">
        <f>SUM(CQ288:CR288)+BC288</f>
        <v>290</v>
      </c>
      <c r="CT288" s="36" t="str">
        <f>IF(ISERROR(MATCH(ß15,$C288:$C296,0)),"",MATCH(ß15,$C288:$C296,0))</f>
        <v/>
      </c>
      <c r="CU288" s="35">
        <f>IF(ISERROR(MATCH(ß15,$E288:$E296,0)),"",MATCH(ß15,$E288:$E296,0))</f>
        <v>8</v>
      </c>
      <c r="CV288" s="15">
        <f>SUM(CT288:CU288)+BC288</f>
        <v>295</v>
      </c>
      <c r="CW288" s="36">
        <f>IF(ISERROR(MATCH(ß16,$C288:$C296,0)),"",MATCH(ß16,$C288:$C296,0))</f>
        <v>9</v>
      </c>
      <c r="CX288" s="35" t="str">
        <f>IF(ISERROR(MATCH(ß16,$E288:$E296,0)),"",MATCH(ß16,$E288:$E296,0))</f>
        <v/>
      </c>
      <c r="CY288" s="15">
        <f>SUM(CW288:CX288)+BC288</f>
        <v>296</v>
      </c>
      <c r="CZ288" s="36" t="str">
        <f>IF(ISERROR(MATCH(ß17,$C288:$C296,0)),"",MATCH(ß17,$C288:$C296,0))</f>
        <v/>
      </c>
      <c r="DA288" s="35">
        <f>IF(ISERROR(MATCH(ß17,$E288:$E296,0)),"",MATCH(ß17,$E288:$E296,0))</f>
        <v>9</v>
      </c>
      <c r="DB288" s="15">
        <f>SUM(CZ288:DA288)+BC288</f>
        <v>296</v>
      </c>
      <c r="DC288" s="36" t="str">
        <f>IF(ISERROR(MATCH(ß18,$C288:$C296,0)),"",MATCH(ß18,$C288:$C296,0))</f>
        <v/>
      </c>
      <c r="DD288" s="35">
        <f>IF(ISERROR(MATCH(ß18,$E288:$E296,0)),"",MATCH(ß18,$E288:$E296,0))</f>
        <v>6</v>
      </c>
      <c r="DE288" s="15">
        <f>SUM(DC288:DD288)+BC288</f>
        <v>293</v>
      </c>
      <c r="DG288" s="8" t="str">
        <f t="shared" ref="DG288:DG296" si="284">IF(F288="","",(IF(F288=H288,0,IF(F288&gt;H288,1,IF(F288&lt;H288,2)))))</f>
        <v/>
      </c>
      <c r="DH288" s="3">
        <f>COUNTIF(I288,DG288)+COUNTIF(K288,DG288)+COUNTIF(M288,DG288)+COUNTIF(O288,DG288)+COUNTIF(Q288,DG288)+COUNTIF(S288,DG288)+COUNTIF(U288,DG288)</f>
        <v>7</v>
      </c>
      <c r="DN288" s="12">
        <f t="shared" ref="DN288:DN296" si="285">F288</f>
        <v>0</v>
      </c>
      <c r="DO288" s="5">
        <f t="shared" ref="DO288:DO296" si="286">H288</f>
        <v>0</v>
      </c>
      <c r="DP288" s="5" t="str">
        <f t="shared" ref="DP288:DP296" si="287">IF($F288="","",IF(DN288&gt;DO288,3,IF(DN288&lt;DO288,0,1)))</f>
        <v/>
      </c>
      <c r="DQ288" s="5" t="str">
        <f t="shared" ref="DQ288:DQ296" si="288">IF($H288="","",IF(DO288&gt;DN288,3,IF(DO288&lt;DN288,0,1)))</f>
        <v/>
      </c>
      <c r="DR288" s="5">
        <f t="shared" ref="DR288:DR296" si="289">IF(ISBLANK(F288),0,1)</f>
        <v>0</v>
      </c>
    </row>
    <row r="289" spans="3:122" ht="11.25" customHeight="1" x14ac:dyDescent="0.2">
      <c r="C289" s="2" t="str">
        <f t="shared" si="275"/>
        <v>Frankfurt</v>
      </c>
      <c r="D289" s="3" t="s">
        <v>11</v>
      </c>
      <c r="E289" s="2" t="str">
        <f t="shared" si="276"/>
        <v>Leverk.</v>
      </c>
      <c r="F289" s="29"/>
      <c r="G289" s="3" t="s">
        <v>12</v>
      </c>
      <c r="H289" s="30"/>
      <c r="I289" s="37"/>
      <c r="J289" s="38" t="str">
        <f t="shared" si="277"/>
        <v/>
      </c>
      <c r="K289" s="37"/>
      <c r="L289" s="38" t="str">
        <f t="shared" si="278"/>
        <v/>
      </c>
      <c r="M289" s="37"/>
      <c r="N289" s="38" t="str">
        <f t="shared" si="279"/>
        <v/>
      </c>
      <c r="O289" s="37"/>
      <c r="P289" s="38" t="str">
        <f t="shared" si="280"/>
        <v/>
      </c>
      <c r="Q289" s="37"/>
      <c r="R289" s="38" t="str">
        <f t="shared" si="281"/>
        <v/>
      </c>
      <c r="S289" s="37"/>
      <c r="T289" s="38" t="str">
        <f t="shared" si="282"/>
        <v/>
      </c>
      <c r="U289" s="37"/>
      <c r="V289" s="38" t="str">
        <f t="shared" si="283"/>
        <v/>
      </c>
      <c r="AF289" s="34"/>
      <c r="AG289" s="34"/>
      <c r="AH289" s="34"/>
      <c r="AI289" s="34"/>
      <c r="AJ289" s="34"/>
      <c r="DG289" s="8" t="str">
        <f t="shared" si="284"/>
        <v/>
      </c>
      <c r="DH289" s="3">
        <f t="shared" ref="DH289:DH296" si="290">COUNTIF(I289,DG289)+COUNTIF(K289,DG289)+COUNTIF(M289,DG289)+COUNTIF(O289,DG289)+COUNTIF(Q289,DG289)+COUNTIF(S289,DG289)+COUNTIF(U289,DG289)</f>
        <v>7</v>
      </c>
      <c r="DN289" s="12">
        <f t="shared" si="285"/>
        <v>0</v>
      </c>
      <c r="DO289" s="5">
        <f t="shared" si="286"/>
        <v>0</v>
      </c>
      <c r="DP289" s="5" t="str">
        <f t="shared" si="287"/>
        <v/>
      </c>
      <c r="DQ289" s="5" t="str">
        <f t="shared" si="288"/>
        <v/>
      </c>
      <c r="DR289" s="5">
        <f t="shared" si="289"/>
        <v>0</v>
      </c>
    </row>
    <row r="290" spans="3:122" ht="11.25" customHeight="1" x14ac:dyDescent="0.2">
      <c r="C290" s="2" t="str">
        <f t="shared" si="275"/>
        <v>Stuttgart</v>
      </c>
      <c r="D290" s="3" t="s">
        <v>11</v>
      </c>
      <c r="E290" s="2" t="str">
        <f t="shared" si="276"/>
        <v>Freiburg</v>
      </c>
      <c r="F290" s="29"/>
      <c r="G290" s="3" t="s">
        <v>12</v>
      </c>
      <c r="H290" s="30"/>
      <c r="I290" s="37"/>
      <c r="J290" s="38" t="str">
        <f t="shared" si="277"/>
        <v/>
      </c>
      <c r="K290" s="37"/>
      <c r="L290" s="38" t="str">
        <f t="shared" si="278"/>
        <v/>
      </c>
      <c r="M290" s="37"/>
      <c r="N290" s="38" t="str">
        <f t="shared" si="279"/>
        <v/>
      </c>
      <c r="O290" s="37"/>
      <c r="P290" s="38" t="str">
        <f t="shared" si="280"/>
        <v/>
      </c>
      <c r="Q290" s="37"/>
      <c r="R290" s="38" t="str">
        <f t="shared" si="281"/>
        <v/>
      </c>
      <c r="S290" s="37"/>
      <c r="T290" s="38" t="str">
        <f t="shared" si="282"/>
        <v/>
      </c>
      <c r="U290" s="37"/>
      <c r="V290" s="38" t="str">
        <f t="shared" si="283"/>
        <v/>
      </c>
      <c r="AF290" s="34"/>
      <c r="AG290" s="34"/>
      <c r="AH290" s="34"/>
      <c r="AI290" s="34"/>
      <c r="AJ290" s="34"/>
      <c r="DG290" s="8" t="str">
        <f t="shared" si="284"/>
        <v/>
      </c>
      <c r="DH290" s="3">
        <f t="shared" si="290"/>
        <v>7</v>
      </c>
      <c r="DN290" s="12">
        <f t="shared" si="285"/>
        <v>0</v>
      </c>
      <c r="DO290" s="5">
        <f t="shared" si="286"/>
        <v>0</v>
      </c>
      <c r="DP290" s="5" t="str">
        <f t="shared" si="287"/>
        <v/>
      </c>
      <c r="DQ290" s="5" t="str">
        <f t="shared" si="288"/>
        <v/>
      </c>
      <c r="DR290" s="5">
        <f t="shared" si="289"/>
        <v>0</v>
      </c>
    </row>
    <row r="291" spans="3:122" ht="11.25" customHeight="1" x14ac:dyDescent="0.2">
      <c r="C291" s="2" t="str">
        <f t="shared" si="275"/>
        <v>Leipzig</v>
      </c>
      <c r="D291" s="3" t="s">
        <v>11</v>
      </c>
      <c r="E291" s="2" t="str">
        <f t="shared" si="276"/>
        <v>Mainz</v>
      </c>
      <c r="F291" s="29"/>
      <c r="G291" s="3" t="s">
        <v>12</v>
      </c>
      <c r="H291" s="30"/>
      <c r="I291" s="37"/>
      <c r="J291" s="38" t="str">
        <f t="shared" si="277"/>
        <v/>
      </c>
      <c r="K291" s="37"/>
      <c r="L291" s="38" t="str">
        <f t="shared" si="278"/>
        <v/>
      </c>
      <c r="M291" s="37"/>
      <c r="N291" s="38" t="str">
        <f t="shared" si="279"/>
        <v/>
      </c>
      <c r="O291" s="37"/>
      <c r="P291" s="38" t="str">
        <f t="shared" si="280"/>
        <v/>
      </c>
      <c r="Q291" s="37"/>
      <c r="R291" s="38" t="str">
        <f t="shared" si="281"/>
        <v/>
      </c>
      <c r="S291" s="37"/>
      <c r="T291" s="38" t="str">
        <f t="shared" si="282"/>
        <v/>
      </c>
      <c r="U291" s="37"/>
      <c r="V291" s="38" t="str">
        <f t="shared" si="283"/>
        <v/>
      </c>
      <c r="AF291" s="34"/>
      <c r="AG291" s="34"/>
      <c r="AH291" s="34"/>
      <c r="AI291" s="34"/>
      <c r="AJ291" s="34"/>
      <c r="DG291" s="8" t="str">
        <f t="shared" si="284"/>
        <v/>
      </c>
      <c r="DH291" s="3">
        <f t="shared" si="290"/>
        <v>7</v>
      </c>
      <c r="DN291" s="12">
        <f t="shared" si="285"/>
        <v>0</v>
      </c>
      <c r="DO291" s="5">
        <f t="shared" si="286"/>
        <v>0</v>
      </c>
      <c r="DP291" s="5" t="str">
        <f t="shared" si="287"/>
        <v/>
      </c>
      <c r="DQ291" s="5" t="str">
        <f t="shared" si="288"/>
        <v/>
      </c>
      <c r="DR291" s="5">
        <f t="shared" si="289"/>
        <v>0</v>
      </c>
    </row>
    <row r="292" spans="3:122" ht="11.25" customHeight="1" x14ac:dyDescent="0.2">
      <c r="C292" s="2" t="str">
        <f t="shared" si="275"/>
        <v>Werder</v>
      </c>
      <c r="D292" s="3" t="s">
        <v>11</v>
      </c>
      <c r="E292" s="2" t="str">
        <f t="shared" si="276"/>
        <v>M'gladb.</v>
      </c>
      <c r="F292" s="29"/>
      <c r="G292" s="3" t="s">
        <v>12</v>
      </c>
      <c r="H292" s="30"/>
      <c r="I292" s="37"/>
      <c r="J292" s="38" t="str">
        <f t="shared" si="277"/>
        <v/>
      </c>
      <c r="K292" s="37"/>
      <c r="L292" s="38" t="str">
        <f t="shared" si="278"/>
        <v/>
      </c>
      <c r="M292" s="37"/>
      <c r="N292" s="38" t="str">
        <f t="shared" si="279"/>
        <v/>
      </c>
      <c r="O292" s="37"/>
      <c r="P292" s="38" t="str">
        <f t="shared" si="280"/>
        <v/>
      </c>
      <c r="Q292" s="37"/>
      <c r="R292" s="38" t="str">
        <f t="shared" si="281"/>
        <v/>
      </c>
      <c r="S292" s="37"/>
      <c r="T292" s="38" t="str">
        <f t="shared" si="282"/>
        <v/>
      </c>
      <c r="U292" s="37"/>
      <c r="V292" s="38" t="str">
        <f t="shared" si="283"/>
        <v/>
      </c>
      <c r="AF292" s="34"/>
      <c r="AG292" s="34"/>
      <c r="AH292" s="34"/>
      <c r="AI292" s="34"/>
      <c r="AJ292" s="34"/>
      <c r="DG292" s="8" t="str">
        <f t="shared" si="284"/>
        <v/>
      </c>
      <c r="DH292" s="3">
        <f t="shared" si="290"/>
        <v>7</v>
      </c>
      <c r="DN292" s="12">
        <f t="shared" si="285"/>
        <v>0</v>
      </c>
      <c r="DO292" s="5">
        <f t="shared" si="286"/>
        <v>0</v>
      </c>
      <c r="DP292" s="5" t="str">
        <f t="shared" si="287"/>
        <v/>
      </c>
      <c r="DQ292" s="5" t="str">
        <f t="shared" si="288"/>
        <v/>
      </c>
      <c r="DR292" s="5">
        <f t="shared" si="289"/>
        <v>0</v>
      </c>
    </row>
    <row r="293" spans="3:122" ht="11.25" customHeight="1" x14ac:dyDescent="0.2">
      <c r="C293" s="2" t="str">
        <f t="shared" si="275"/>
        <v>Köln</v>
      </c>
      <c r="D293" s="3" t="s">
        <v>11</v>
      </c>
      <c r="E293" s="2" t="str">
        <f t="shared" si="276"/>
        <v>Wolfsburg</v>
      </c>
      <c r="F293" s="29"/>
      <c r="G293" s="3" t="s">
        <v>12</v>
      </c>
      <c r="H293" s="30"/>
      <c r="I293" s="37"/>
      <c r="J293" s="38" t="str">
        <f t="shared" si="277"/>
        <v/>
      </c>
      <c r="K293" s="37"/>
      <c r="L293" s="38" t="str">
        <f t="shared" si="278"/>
        <v/>
      </c>
      <c r="M293" s="37"/>
      <c r="N293" s="38" t="str">
        <f t="shared" si="279"/>
        <v/>
      </c>
      <c r="O293" s="37"/>
      <c r="P293" s="38" t="str">
        <f t="shared" si="280"/>
        <v/>
      </c>
      <c r="Q293" s="37"/>
      <c r="R293" s="38" t="str">
        <f t="shared" si="281"/>
        <v/>
      </c>
      <c r="S293" s="37"/>
      <c r="T293" s="38" t="str">
        <f t="shared" si="282"/>
        <v/>
      </c>
      <c r="U293" s="37"/>
      <c r="V293" s="38" t="str">
        <f t="shared" si="283"/>
        <v/>
      </c>
      <c r="AF293" s="34"/>
      <c r="AG293" s="34"/>
      <c r="AH293" s="34"/>
      <c r="AI293" s="34"/>
      <c r="AJ293" s="34"/>
      <c r="DG293" s="8" t="str">
        <f t="shared" si="284"/>
        <v/>
      </c>
      <c r="DH293" s="3">
        <f t="shared" si="290"/>
        <v>7</v>
      </c>
      <c r="DN293" s="12">
        <f t="shared" si="285"/>
        <v>0</v>
      </c>
      <c r="DO293" s="5">
        <f t="shared" si="286"/>
        <v>0</v>
      </c>
      <c r="DP293" s="5" t="str">
        <f t="shared" si="287"/>
        <v/>
      </c>
      <c r="DQ293" s="5" t="str">
        <f t="shared" si="288"/>
        <v/>
      </c>
      <c r="DR293" s="5">
        <f t="shared" si="289"/>
        <v>0</v>
      </c>
    </row>
    <row r="294" spans="3:122" ht="11.25" customHeight="1" x14ac:dyDescent="0.2">
      <c r="C294" s="2" t="str">
        <f t="shared" si="275"/>
        <v>Hoffenheim</v>
      </c>
      <c r="D294" s="3" t="s">
        <v>11</v>
      </c>
      <c r="E294" s="2" t="str">
        <f t="shared" si="276"/>
        <v>Union</v>
      </c>
      <c r="F294" s="29"/>
      <c r="G294" s="3" t="s">
        <v>12</v>
      </c>
      <c r="H294" s="30"/>
      <c r="I294" s="37"/>
      <c r="J294" s="38" t="str">
        <f t="shared" si="277"/>
        <v/>
      </c>
      <c r="K294" s="37"/>
      <c r="L294" s="38" t="str">
        <f t="shared" si="278"/>
        <v/>
      </c>
      <c r="M294" s="37"/>
      <c r="N294" s="38" t="str">
        <f t="shared" si="279"/>
        <v/>
      </c>
      <c r="O294" s="37"/>
      <c r="P294" s="38" t="str">
        <f t="shared" si="280"/>
        <v/>
      </c>
      <c r="Q294" s="37"/>
      <c r="R294" s="38" t="str">
        <f t="shared" si="281"/>
        <v/>
      </c>
      <c r="S294" s="37"/>
      <c r="T294" s="38" t="str">
        <f t="shared" si="282"/>
        <v/>
      </c>
      <c r="U294" s="37"/>
      <c r="V294" s="38" t="str">
        <f t="shared" si="283"/>
        <v/>
      </c>
      <c r="AF294" s="34"/>
      <c r="AG294" s="34"/>
      <c r="AH294" s="34"/>
      <c r="AI294" s="34"/>
      <c r="AJ294" s="34"/>
      <c r="DG294" s="8" t="str">
        <f t="shared" si="284"/>
        <v/>
      </c>
      <c r="DH294" s="3">
        <f t="shared" si="290"/>
        <v>7</v>
      </c>
      <c r="DN294" s="12">
        <f t="shared" si="285"/>
        <v>0</v>
      </c>
      <c r="DO294" s="5">
        <f t="shared" si="286"/>
        <v>0</v>
      </c>
      <c r="DP294" s="5" t="str">
        <f t="shared" si="287"/>
        <v/>
      </c>
      <c r="DQ294" s="5" t="str">
        <f t="shared" si="288"/>
        <v/>
      </c>
      <c r="DR294" s="5">
        <f t="shared" si="289"/>
        <v>0</v>
      </c>
    </row>
    <row r="295" spans="3:122" ht="11.25" customHeight="1" x14ac:dyDescent="0.2">
      <c r="C295" s="2" t="str">
        <f t="shared" si="275"/>
        <v>Augsburg</v>
      </c>
      <c r="D295" s="3" t="s">
        <v>11</v>
      </c>
      <c r="E295" s="2" t="str">
        <f t="shared" si="276"/>
        <v>St. Pauli</v>
      </c>
      <c r="F295" s="29"/>
      <c r="G295" s="3" t="s">
        <v>12</v>
      </c>
      <c r="H295" s="30"/>
      <c r="I295" s="37"/>
      <c r="J295" s="38" t="str">
        <f t="shared" si="277"/>
        <v/>
      </c>
      <c r="K295" s="37"/>
      <c r="L295" s="38" t="str">
        <f t="shared" si="278"/>
        <v/>
      </c>
      <c r="M295" s="37"/>
      <c r="N295" s="38" t="str">
        <f t="shared" si="279"/>
        <v/>
      </c>
      <c r="O295" s="37"/>
      <c r="P295" s="38" t="str">
        <f t="shared" si="280"/>
        <v/>
      </c>
      <c r="Q295" s="37"/>
      <c r="R295" s="38" t="str">
        <f t="shared" si="281"/>
        <v/>
      </c>
      <c r="S295" s="37"/>
      <c r="T295" s="38" t="str">
        <f t="shared" si="282"/>
        <v/>
      </c>
      <c r="U295" s="37"/>
      <c r="V295" s="38" t="str">
        <f t="shared" si="283"/>
        <v/>
      </c>
      <c r="AF295" s="34"/>
      <c r="AG295" s="34"/>
      <c r="AH295" s="34"/>
      <c r="AI295" s="34"/>
      <c r="AJ295" s="34"/>
      <c r="DG295" s="8" t="str">
        <f t="shared" si="284"/>
        <v/>
      </c>
      <c r="DH295" s="3">
        <f t="shared" si="290"/>
        <v>7</v>
      </c>
      <c r="DN295" s="12">
        <f t="shared" si="285"/>
        <v>0</v>
      </c>
      <c r="DO295" s="5">
        <f t="shared" si="286"/>
        <v>0</v>
      </c>
      <c r="DP295" s="5" t="str">
        <f t="shared" si="287"/>
        <v/>
      </c>
      <c r="DQ295" s="5" t="str">
        <f t="shared" si="288"/>
        <v/>
      </c>
      <c r="DR295" s="5">
        <f t="shared" si="289"/>
        <v>0</v>
      </c>
    </row>
    <row r="296" spans="3:122" ht="11.25" customHeight="1" thickBot="1" x14ac:dyDescent="0.25">
      <c r="C296" s="2" t="str">
        <f t="shared" si="275"/>
        <v>Dortmund</v>
      </c>
      <c r="D296" s="3" t="s">
        <v>11</v>
      </c>
      <c r="E296" s="2" t="str">
        <f t="shared" si="276"/>
        <v>Heidenheim</v>
      </c>
      <c r="F296" s="29"/>
      <c r="G296" s="3" t="s">
        <v>12</v>
      </c>
      <c r="H296" s="30"/>
      <c r="I296" s="37"/>
      <c r="J296" s="38" t="str">
        <f t="shared" si="277"/>
        <v/>
      </c>
      <c r="K296" s="37"/>
      <c r="L296" s="38" t="str">
        <f t="shared" si="278"/>
        <v/>
      </c>
      <c r="M296" s="37"/>
      <c r="N296" s="38" t="str">
        <f t="shared" si="279"/>
        <v/>
      </c>
      <c r="O296" s="37"/>
      <c r="P296" s="38" t="str">
        <f t="shared" si="280"/>
        <v/>
      </c>
      <c r="Q296" s="37"/>
      <c r="R296" s="38" t="str">
        <f t="shared" si="281"/>
        <v/>
      </c>
      <c r="S296" s="37"/>
      <c r="T296" s="38" t="str">
        <f t="shared" si="282"/>
        <v/>
      </c>
      <c r="U296" s="37"/>
      <c r="V296" s="38" t="str">
        <f t="shared" si="283"/>
        <v/>
      </c>
      <c r="AF296" s="34"/>
      <c r="AG296" s="34"/>
      <c r="AH296" s="34"/>
      <c r="AI296" s="34"/>
      <c r="AJ296" s="34"/>
      <c r="DG296" s="8" t="str">
        <f t="shared" si="284"/>
        <v/>
      </c>
      <c r="DH296" s="3">
        <f t="shared" si="290"/>
        <v>7</v>
      </c>
      <c r="DN296" s="12">
        <f t="shared" si="285"/>
        <v>0</v>
      </c>
      <c r="DO296" s="5">
        <f t="shared" si="286"/>
        <v>0</v>
      </c>
      <c r="DP296" s="5" t="str">
        <f t="shared" si="287"/>
        <v/>
      </c>
      <c r="DQ296" s="5" t="str">
        <f t="shared" si="288"/>
        <v/>
      </c>
      <c r="DR296" s="5">
        <f t="shared" si="289"/>
        <v>0</v>
      </c>
    </row>
    <row r="297" spans="3:122" ht="11.25" customHeight="1" thickTop="1" x14ac:dyDescent="0.2">
      <c r="C297" s="41">
        <f>(I297+K297+M297+O297+Q297+S297+U297)</f>
        <v>0</v>
      </c>
      <c r="E297" s="42">
        <f>C297/8</f>
        <v>0</v>
      </c>
      <c r="F297" s="41">
        <f>SUM(F288:F296)</f>
        <v>0</v>
      </c>
      <c r="G297" s="2"/>
      <c r="H297" s="43">
        <f>SUM(H288:H296)</f>
        <v>0</v>
      </c>
      <c r="I297" s="44">
        <f>COUNTIF(J288:J296,"&gt;0")</f>
        <v>0</v>
      </c>
      <c r="J297" s="45">
        <f>I297+J282</f>
        <v>0</v>
      </c>
      <c r="K297" s="44">
        <f>COUNTIF(L288:L296,"&gt;0")</f>
        <v>0</v>
      </c>
      <c r="L297" s="45">
        <f>K297+L282</f>
        <v>0</v>
      </c>
      <c r="M297" s="44">
        <f>COUNTIF(N288:N296,"&gt;0")</f>
        <v>0</v>
      </c>
      <c r="N297" s="45">
        <f>M297+N282</f>
        <v>0</v>
      </c>
      <c r="O297" s="44">
        <f>COUNTIF(P288:P296,"&gt;0")</f>
        <v>0</v>
      </c>
      <c r="P297" s="45">
        <f>O297+P282</f>
        <v>0</v>
      </c>
      <c r="Q297" s="44">
        <f>COUNTIF(R288:R296,"&gt;0")</f>
        <v>0</v>
      </c>
      <c r="R297" s="45">
        <f>Q297+R282</f>
        <v>0</v>
      </c>
      <c r="S297" s="44">
        <f>COUNTIF(T288:T296,"&gt;0")</f>
        <v>0</v>
      </c>
      <c r="T297" s="45">
        <f>S297+T282</f>
        <v>0</v>
      </c>
      <c r="U297" s="44">
        <f>COUNTIF(V288:V296,"&gt;0")</f>
        <v>0</v>
      </c>
      <c r="V297" s="45">
        <f>U297+V282</f>
        <v>0</v>
      </c>
      <c r="AF297" s="34"/>
      <c r="AG297" s="34"/>
      <c r="AH297" s="34"/>
      <c r="AI297" s="34"/>
      <c r="AJ297" s="34"/>
      <c r="DN297" s="12"/>
    </row>
    <row r="298" spans="3:122" ht="11.25" customHeight="1" x14ac:dyDescent="0.2">
      <c r="C298" s="41">
        <f>(I298+K298+M298+O298+Q298+S298+U298)</f>
        <v>0</v>
      </c>
      <c r="E298" s="42">
        <f>C298/8</f>
        <v>0</v>
      </c>
      <c r="F298" s="137">
        <f>F297+H297</f>
        <v>0</v>
      </c>
      <c r="G298" s="137"/>
      <c r="H298" s="137"/>
      <c r="I298" s="46">
        <f>SUM(J288:J296)</f>
        <v>0</v>
      </c>
      <c r="J298" s="47">
        <f>I298+J283</f>
        <v>0</v>
      </c>
      <c r="K298" s="46">
        <f>SUM(L288:L296)</f>
        <v>0</v>
      </c>
      <c r="L298" s="47">
        <f>K298+L283</f>
        <v>0</v>
      </c>
      <c r="M298" s="46">
        <f>SUM(N288:N296)</f>
        <v>0</v>
      </c>
      <c r="N298" s="47">
        <f>M298+N283</f>
        <v>0</v>
      </c>
      <c r="O298" s="46">
        <f>SUM(P288:P296)</f>
        <v>0</v>
      </c>
      <c r="P298" s="47">
        <f>O298+P283</f>
        <v>0</v>
      </c>
      <c r="Q298" s="46">
        <f>SUM(R288:R296)</f>
        <v>0</v>
      </c>
      <c r="R298" s="47">
        <f>Q298+R283</f>
        <v>0</v>
      </c>
      <c r="S298" s="46">
        <f>SUM(T288:T296)</f>
        <v>0</v>
      </c>
      <c r="T298" s="47">
        <f>S298+T283</f>
        <v>0</v>
      </c>
      <c r="U298" s="46">
        <f>SUM(V288:V296)</f>
        <v>0</v>
      </c>
      <c r="V298" s="47">
        <f>U298+V283</f>
        <v>0</v>
      </c>
      <c r="AF298" s="34"/>
      <c r="AG298" s="34"/>
      <c r="AH298" s="34"/>
      <c r="AI298" s="34"/>
      <c r="AJ298" s="34"/>
      <c r="DN298" s="12"/>
    </row>
    <row r="299" spans="3:122" ht="11.25" customHeight="1" thickBot="1" x14ac:dyDescent="0.25">
      <c r="C299" s="41">
        <f>(I299+K299+M299+O299+Q299+S299+U299)</f>
        <v>0</v>
      </c>
      <c r="E299" s="42">
        <f>C299/8</f>
        <v>0</v>
      </c>
      <c r="F299" s="138">
        <f>F298+F284</f>
        <v>0</v>
      </c>
      <c r="G299" s="138"/>
      <c r="H299" s="138"/>
      <c r="I299" s="48">
        <f>I297*I298</f>
        <v>0</v>
      </c>
      <c r="J299" s="49">
        <f>I299+J284</f>
        <v>0</v>
      </c>
      <c r="K299" s="48">
        <f>K297*K298</f>
        <v>0</v>
      </c>
      <c r="L299" s="49">
        <f>K299+L284</f>
        <v>0</v>
      </c>
      <c r="M299" s="48">
        <f>M297*M298</f>
        <v>0</v>
      </c>
      <c r="N299" s="49">
        <f>M299+N284</f>
        <v>0</v>
      </c>
      <c r="O299" s="48">
        <f>O297*O298</f>
        <v>0</v>
      </c>
      <c r="P299" s="49">
        <f>O299+P284</f>
        <v>0</v>
      </c>
      <c r="Q299" s="48">
        <f>Q297*Q298</f>
        <v>0</v>
      </c>
      <c r="R299" s="49">
        <f>Q299+R284</f>
        <v>0</v>
      </c>
      <c r="S299" s="48">
        <f>S297*S298</f>
        <v>0</v>
      </c>
      <c r="T299" s="49">
        <f>S299+T284</f>
        <v>0</v>
      </c>
      <c r="U299" s="48">
        <f>U297*U298</f>
        <v>0</v>
      </c>
      <c r="V299" s="49">
        <f>U299+V284</f>
        <v>0</v>
      </c>
      <c r="AF299" s="34"/>
      <c r="AG299" s="34"/>
      <c r="AH299" s="34"/>
      <c r="AI299" s="34"/>
      <c r="AJ299" s="34"/>
      <c r="AL299" s="5">
        <f>MAX(I299,K299,M299,O299,Q299,S299,U299)</f>
        <v>0</v>
      </c>
      <c r="AM299" s="5">
        <f>MIN(I299,K299,M299,O299,Q299,S299,U299)</f>
        <v>0</v>
      </c>
      <c r="AN299" s="5"/>
      <c r="AO299" s="5"/>
      <c r="AP299" s="5"/>
      <c r="AQ299" s="5"/>
      <c r="AR299" s="5"/>
      <c r="AS299" s="13"/>
      <c r="AT299" s="5"/>
      <c r="AU299" s="5"/>
      <c r="AV299" s="5"/>
      <c r="AW299" s="5"/>
      <c r="AX299" s="5"/>
      <c r="AY299" s="5"/>
      <c r="AZ299" s="5"/>
      <c r="BA299" s="5"/>
      <c r="BB299" s="5"/>
      <c r="BD299" s="5"/>
      <c r="BE299" s="5"/>
      <c r="BF299" s="14"/>
      <c r="BG299" s="13"/>
      <c r="BH299" s="5"/>
      <c r="BI299" s="14"/>
      <c r="BJ299" s="13"/>
      <c r="BK299" s="5"/>
      <c r="BL299" s="14"/>
      <c r="BM299" s="13"/>
      <c r="BN299" s="5"/>
      <c r="BO299" s="14"/>
      <c r="BP299" s="13"/>
      <c r="BQ299" s="5"/>
      <c r="BR299" s="14"/>
      <c r="BS299" s="13"/>
      <c r="BT299" s="5"/>
      <c r="BU299" s="14"/>
      <c r="BV299" s="13"/>
      <c r="BW299" s="5"/>
      <c r="BX299" s="14"/>
      <c r="BY299" s="13"/>
      <c r="BZ299" s="5"/>
      <c r="CA299" s="14"/>
      <c r="CB299" s="13"/>
      <c r="CC299" s="5"/>
      <c r="CD299" s="14"/>
      <c r="CE299" s="13"/>
      <c r="CF299" s="5"/>
      <c r="CG299" s="14"/>
      <c r="CH299" s="13"/>
      <c r="CI299" s="5"/>
      <c r="CJ299" s="14"/>
      <c r="CK299" s="13"/>
      <c r="CL299" s="5"/>
      <c r="CM299" s="14"/>
      <c r="CN299" s="13"/>
      <c r="CO299" s="5"/>
      <c r="CP299" s="14"/>
      <c r="CQ299" s="13"/>
      <c r="CR299" s="5"/>
      <c r="CS299" s="14"/>
      <c r="CT299" s="13"/>
      <c r="CU299" s="5"/>
      <c r="CV299" s="14"/>
      <c r="CW299" s="13"/>
      <c r="CX299" s="5"/>
      <c r="CY299" s="14"/>
      <c r="CZ299" s="13"/>
      <c r="DA299" s="5"/>
      <c r="DB299" s="14"/>
      <c r="DC299" s="13"/>
      <c r="DD299" s="5"/>
      <c r="DE299" s="14"/>
      <c r="DF299" s="5"/>
      <c r="DG299" s="5"/>
      <c r="DH299" s="5"/>
      <c r="DN299" s="12"/>
    </row>
    <row r="300" spans="3:122" ht="11.25" customHeight="1" thickTop="1" x14ac:dyDescent="0.2">
      <c r="I300" s="50"/>
      <c r="J300" s="50">
        <f>L299-J299</f>
        <v>0</v>
      </c>
      <c r="K300" s="50"/>
      <c r="L300" s="50"/>
      <c r="M300" s="50"/>
      <c r="N300" s="50">
        <f>L299-N299</f>
        <v>0</v>
      </c>
      <c r="O300" s="50"/>
      <c r="P300" s="50">
        <f>L299-P299</f>
        <v>0</v>
      </c>
      <c r="Q300" s="50"/>
      <c r="R300" s="50">
        <f>L299-R299</f>
        <v>0</v>
      </c>
      <c r="S300" s="50"/>
      <c r="T300" s="50">
        <f>L299-T299</f>
        <v>0</v>
      </c>
      <c r="U300" s="50"/>
      <c r="V300" s="50">
        <f>L299-V299</f>
        <v>0</v>
      </c>
    </row>
    <row r="301" spans="3:122" ht="11.25" customHeight="1" x14ac:dyDescent="0.2">
      <c r="E301" s="22"/>
      <c r="F301" s="34"/>
      <c r="I301" s="139" t="str">
        <f>ß101</f>
        <v>Kropp</v>
      </c>
      <c r="J301" s="139"/>
      <c r="K301" s="139" t="str">
        <f>ß102</f>
        <v>Nörnberg</v>
      </c>
      <c r="L301" s="139"/>
      <c r="M301" s="139" t="str">
        <f>ß103</f>
        <v>Bübel</v>
      </c>
      <c r="N301" s="139"/>
      <c r="O301" s="139" t="str">
        <f>ß104</f>
        <v>Schwicht.</v>
      </c>
      <c r="P301" s="139"/>
      <c r="Q301" s="139" t="str">
        <f>ß105</f>
        <v>Rontzko.</v>
      </c>
      <c r="R301" s="139"/>
      <c r="S301" s="139" t="str">
        <f>ß106</f>
        <v>Hauschildt</v>
      </c>
      <c r="T301" s="139"/>
      <c r="U301" s="139" t="str">
        <f>ß107</f>
        <v>Zerres</v>
      </c>
      <c r="V301" s="139"/>
      <c r="AF301" s="11"/>
      <c r="AG301" s="11"/>
      <c r="AH301" s="11"/>
      <c r="AI301" s="11"/>
      <c r="AJ301" s="11"/>
      <c r="AL301" s="5" t="str">
        <f>IF($I314=$AL314,I301,"x")</f>
        <v>Kropp</v>
      </c>
      <c r="AM301" s="5" t="str">
        <f>IF($K314=$AL314,K301,"x")</f>
        <v>Nörnberg</v>
      </c>
      <c r="AN301" s="5" t="str">
        <f>IF($M314=$AL314,M301,"x")</f>
        <v>Bübel</v>
      </c>
      <c r="AO301" s="5" t="str">
        <f>IF($O314=$AL314,O301,"x")</f>
        <v>Schwicht.</v>
      </c>
      <c r="AP301" s="5" t="str">
        <f>IF($Q314=$AL314,Q301,"x")</f>
        <v>Rontzko.</v>
      </c>
      <c r="AQ301" s="5" t="str">
        <f>IF($S314=$AL314,S301,"x")</f>
        <v>Hauschildt</v>
      </c>
      <c r="AR301" s="5" t="str">
        <f>IF($U314=$AL314,U301,"x")</f>
        <v>Zerres</v>
      </c>
      <c r="AS301" s="13" t="str">
        <f>IF($I314=$AM314,I301,"x")</f>
        <v>Kropp</v>
      </c>
      <c r="AT301" s="5" t="str">
        <f>IF($K314=$AM314,K301,"x")</f>
        <v>Nörnberg</v>
      </c>
      <c r="AU301" s="5" t="str">
        <f>IF($M314=$AM314,M301,"x")</f>
        <v>Bübel</v>
      </c>
      <c r="AV301" s="5" t="str">
        <f>IF($O314=$AM314,O301,"x")</f>
        <v>Schwicht.</v>
      </c>
      <c r="AW301" s="5" t="str">
        <f>IF($Q314=$AM314,Q301,"x")</f>
        <v>Rontzko.</v>
      </c>
      <c r="AX301" s="5" t="str">
        <f>IF($S314=$AM314,S301,"x")</f>
        <v>Hauschildt</v>
      </c>
      <c r="AY301" s="5" t="str">
        <f>IF($U314=$AM314,U301,"x")</f>
        <v>Zerres</v>
      </c>
      <c r="BD301" s="140" t="str">
        <f>ß01</f>
        <v>Bayern</v>
      </c>
      <c r="BE301" s="140"/>
      <c r="BF301" s="140"/>
      <c r="BG301" s="141" t="str">
        <f>ß02</f>
        <v>Leipzig</v>
      </c>
      <c r="BH301" s="141"/>
      <c r="BI301" s="141"/>
      <c r="BJ301" s="141" t="str">
        <f>ß03</f>
        <v>Leverk.</v>
      </c>
      <c r="BK301" s="141"/>
      <c r="BL301" s="141"/>
      <c r="BM301" s="141" t="str">
        <f>ß04</f>
        <v>Hoffenheim</v>
      </c>
      <c r="BN301" s="141"/>
      <c r="BO301" s="141"/>
      <c r="BP301" s="141" t="str">
        <f>ß05</f>
        <v>Frankfurt</v>
      </c>
      <c r="BQ301" s="141"/>
      <c r="BR301" s="141"/>
      <c r="BS301" s="141" t="str">
        <f>ß06</f>
        <v>Werder</v>
      </c>
      <c r="BT301" s="141"/>
      <c r="BU301" s="141"/>
      <c r="BV301" s="141" t="str">
        <f>ß07</f>
        <v>Freiburg</v>
      </c>
      <c r="BW301" s="141"/>
      <c r="BX301" s="141"/>
      <c r="BY301" s="141" t="str">
        <f>ß08</f>
        <v>Augsburg</v>
      </c>
      <c r="BZ301" s="141"/>
      <c r="CA301" s="141"/>
      <c r="CB301" s="141" t="str">
        <f>ß09</f>
        <v>Mainz</v>
      </c>
      <c r="CC301" s="141"/>
      <c r="CD301" s="141"/>
      <c r="CE301" s="141" t="str">
        <f>ß10</f>
        <v>Köln</v>
      </c>
      <c r="CF301" s="141"/>
      <c r="CG301" s="141"/>
      <c r="CH301" s="141" t="str">
        <f>ß11</f>
        <v>M'gladb.</v>
      </c>
      <c r="CI301" s="141"/>
      <c r="CJ301" s="141"/>
      <c r="CK301" s="141" t="str">
        <f>ß12</f>
        <v>HSV</v>
      </c>
      <c r="CL301" s="141"/>
      <c r="CM301" s="141"/>
      <c r="CN301" s="141" t="str">
        <f>ß13</f>
        <v>Union</v>
      </c>
      <c r="CO301" s="141"/>
      <c r="CP301" s="141"/>
      <c r="CQ301" s="141" t="str">
        <f>ß14</f>
        <v>Stuttgart</v>
      </c>
      <c r="CR301" s="141"/>
      <c r="CS301" s="141"/>
      <c r="CT301" s="141" t="str">
        <f>ß15</f>
        <v>St. Pauli</v>
      </c>
      <c r="CU301" s="141"/>
      <c r="CV301" s="141"/>
      <c r="CW301" s="141" t="str">
        <f>ß16</f>
        <v>Dortmund</v>
      </c>
      <c r="CX301" s="141"/>
      <c r="CY301" s="141"/>
      <c r="CZ301" s="141" t="str">
        <f>ß17</f>
        <v>Heidenheim</v>
      </c>
      <c r="DA301" s="141"/>
      <c r="DB301" s="141"/>
      <c r="DC301" s="141" t="str">
        <f>ß18</f>
        <v>Wolfsburg</v>
      </c>
      <c r="DD301" s="141"/>
      <c r="DE301" s="141"/>
    </row>
    <row r="302" spans="3:122" ht="11.25" customHeight="1" x14ac:dyDescent="0.2">
      <c r="C302" s="16" t="str">
        <f>Mannschaften!F21</f>
        <v>21. Spieltag</v>
      </c>
      <c r="D302" s="11"/>
      <c r="E302" s="17" t="str">
        <f>Mannschaften!G21</f>
        <v>6.-8.2.26</v>
      </c>
      <c r="I302" s="19">
        <f>RANK(Rang!A21,Rang!A21:G21)</f>
        <v>1</v>
      </c>
      <c r="J302" s="20">
        <f>RANK(Rang!H21,Rang!H21:N21)</f>
        <v>1</v>
      </c>
      <c r="K302" s="19">
        <f>RANK(Rang!B21,Rang!A21:G21)</f>
        <v>1</v>
      </c>
      <c r="L302" s="20">
        <f>RANK(Rang!I21,Rang!H21:N21)</f>
        <v>1</v>
      </c>
      <c r="M302" s="19">
        <f>RANK(Rang!C21,Rang!A21:G21)</f>
        <v>1</v>
      </c>
      <c r="N302" s="20">
        <f>RANK(Rang!J21,Rang!H21:N21)</f>
        <v>1</v>
      </c>
      <c r="O302" s="19">
        <f>RANK(Rang!D21,Rang!A21:G21)</f>
        <v>1</v>
      </c>
      <c r="P302" s="20">
        <f>RANK(Rang!K21,Rang!H21:N21)</f>
        <v>1</v>
      </c>
      <c r="Q302" s="19">
        <f>RANK(Rang!E21,Rang!A21:G21)</f>
        <v>1</v>
      </c>
      <c r="R302" s="20">
        <f>RANK(Rang!L21,Rang!H21:N21)</f>
        <v>1</v>
      </c>
      <c r="S302" s="19">
        <f>RANK(Rang!F21,Rang!A21:G21)</f>
        <v>1</v>
      </c>
      <c r="T302" s="20">
        <f>RANK(Rang!M21,Rang!H21:N21)</f>
        <v>1</v>
      </c>
      <c r="U302" s="19">
        <f>RANK(Rang!G21,Rang!A21:G21)</f>
        <v>1</v>
      </c>
      <c r="V302" s="20">
        <f>RANK(Rang!N21,Rang!H21:N21)</f>
        <v>1</v>
      </c>
      <c r="AF302" s="22"/>
      <c r="AG302" s="22"/>
      <c r="AH302" s="22"/>
      <c r="AI302" s="22"/>
      <c r="AJ302" s="22"/>
      <c r="AK302" s="21"/>
      <c r="AL302" s="21"/>
      <c r="AM302" s="21"/>
      <c r="AN302" s="21"/>
      <c r="AO302" s="21"/>
      <c r="AP302" s="21"/>
      <c r="AQ302" s="21"/>
      <c r="AR302" s="21"/>
      <c r="AS302" s="24"/>
      <c r="AT302" s="21"/>
      <c r="AU302" s="21"/>
      <c r="AV302" s="21"/>
      <c r="AW302" s="21"/>
      <c r="AX302" s="21"/>
      <c r="AY302" s="21"/>
      <c r="AZ302" s="21"/>
      <c r="BA302" s="21"/>
      <c r="BB302" s="21"/>
      <c r="BD302" s="25" t="s">
        <v>4</v>
      </c>
      <c r="BE302" s="25" t="s">
        <v>5</v>
      </c>
      <c r="BF302" s="26" t="s">
        <v>6</v>
      </c>
      <c r="BG302" s="27" t="s">
        <v>4</v>
      </c>
      <c r="BH302" s="25" t="s">
        <v>5</v>
      </c>
      <c r="BI302" s="26" t="s">
        <v>6</v>
      </c>
      <c r="BJ302" s="27" t="s">
        <v>4</v>
      </c>
      <c r="BK302" s="25" t="s">
        <v>5</v>
      </c>
      <c r="BL302" s="26" t="s">
        <v>6</v>
      </c>
      <c r="BM302" s="27" t="s">
        <v>4</v>
      </c>
      <c r="BN302" s="25" t="s">
        <v>5</v>
      </c>
      <c r="BO302" s="26" t="s">
        <v>6</v>
      </c>
      <c r="BP302" s="27" t="s">
        <v>4</v>
      </c>
      <c r="BQ302" s="25" t="s">
        <v>5</v>
      </c>
      <c r="BR302" s="26" t="s">
        <v>6</v>
      </c>
      <c r="BS302" s="27" t="s">
        <v>4</v>
      </c>
      <c r="BT302" s="25" t="s">
        <v>5</v>
      </c>
      <c r="BU302" s="26" t="s">
        <v>6</v>
      </c>
      <c r="BV302" s="27" t="s">
        <v>4</v>
      </c>
      <c r="BW302" s="25" t="s">
        <v>5</v>
      </c>
      <c r="BX302" s="26" t="s">
        <v>6</v>
      </c>
      <c r="BY302" s="27" t="s">
        <v>4</v>
      </c>
      <c r="BZ302" s="25" t="s">
        <v>5</v>
      </c>
      <c r="CA302" s="26" t="s">
        <v>6</v>
      </c>
      <c r="CB302" s="27" t="s">
        <v>4</v>
      </c>
      <c r="CC302" s="25" t="s">
        <v>5</v>
      </c>
      <c r="CD302" s="26" t="s">
        <v>6</v>
      </c>
      <c r="CE302" s="27" t="s">
        <v>4</v>
      </c>
      <c r="CF302" s="25" t="s">
        <v>5</v>
      </c>
      <c r="CG302" s="26" t="s">
        <v>6</v>
      </c>
      <c r="CH302" s="27" t="s">
        <v>4</v>
      </c>
      <c r="CI302" s="25" t="s">
        <v>5</v>
      </c>
      <c r="CJ302" s="26" t="s">
        <v>6</v>
      </c>
      <c r="CK302" s="27" t="s">
        <v>4</v>
      </c>
      <c r="CL302" s="25" t="s">
        <v>5</v>
      </c>
      <c r="CM302" s="26" t="s">
        <v>6</v>
      </c>
      <c r="CN302" s="27" t="s">
        <v>4</v>
      </c>
      <c r="CO302" s="25" t="s">
        <v>5</v>
      </c>
      <c r="CP302" s="26" t="s">
        <v>6</v>
      </c>
      <c r="CQ302" s="27" t="s">
        <v>4</v>
      </c>
      <c r="CR302" s="25" t="s">
        <v>5</v>
      </c>
      <c r="CS302" s="26" t="s">
        <v>6</v>
      </c>
      <c r="CT302" s="27" t="s">
        <v>4</v>
      </c>
      <c r="CU302" s="25" t="s">
        <v>5</v>
      </c>
      <c r="CV302" s="26" t="s">
        <v>6</v>
      </c>
      <c r="CW302" s="27" t="s">
        <v>4</v>
      </c>
      <c r="CX302" s="25" t="s">
        <v>5</v>
      </c>
      <c r="CY302" s="26" t="s">
        <v>6</v>
      </c>
      <c r="CZ302" s="27" t="s">
        <v>4</v>
      </c>
      <c r="DA302" s="25" t="s">
        <v>5</v>
      </c>
      <c r="DB302" s="26" t="s">
        <v>6</v>
      </c>
      <c r="DC302" s="27" t="s">
        <v>4</v>
      </c>
      <c r="DD302" s="25" t="s">
        <v>5</v>
      </c>
      <c r="DE302" s="26" t="s">
        <v>6</v>
      </c>
      <c r="DF302" s="21"/>
      <c r="DG302" s="21"/>
      <c r="DH302" s="21"/>
      <c r="DN302" s="136" t="s">
        <v>7</v>
      </c>
      <c r="DO302" s="136"/>
      <c r="DP302" s="136" t="s">
        <v>8</v>
      </c>
      <c r="DQ302" s="136"/>
      <c r="DR302" s="28"/>
    </row>
    <row r="303" spans="3:122" ht="11.25" customHeight="1" x14ac:dyDescent="0.2">
      <c r="C303" s="2" t="str">
        <f t="shared" ref="C303:C311" si="291">E48</f>
        <v>M'gladb.</v>
      </c>
      <c r="D303" s="3" t="s">
        <v>11</v>
      </c>
      <c r="E303" s="2" t="str">
        <f t="shared" ref="E303:E311" si="292">C48</f>
        <v>Leverk.</v>
      </c>
      <c r="F303" s="29"/>
      <c r="G303" s="3" t="s">
        <v>12</v>
      </c>
      <c r="H303" s="30"/>
      <c r="I303" s="31"/>
      <c r="J303" s="32" t="str">
        <f t="shared" ref="J303:J311" si="293">IF($F303="","",(IF(I303="","",IF(I303=$DG303,(VLOOKUP($DH303,$DJ$3:$DK$11,2,FALSE())),0))))</f>
        <v/>
      </c>
      <c r="K303" s="31"/>
      <c r="L303" s="32" t="str">
        <f t="shared" ref="L303:L311" si="294">IF($F303="","",(IF(K303="","",IF(K303=$DG303,(VLOOKUP($DH303,$DJ$3:$DK$11,2,FALSE())),0))))</f>
        <v/>
      </c>
      <c r="M303" s="31"/>
      <c r="N303" s="32" t="str">
        <f t="shared" ref="N303:N311" si="295">IF($F303="","",(IF(M303="","",IF(M303=$DG303,(VLOOKUP($DH303,$DJ$3:$DK$11,2,FALSE())),0))))</f>
        <v/>
      </c>
      <c r="O303" s="31"/>
      <c r="P303" s="32" t="str">
        <f t="shared" ref="P303:P311" si="296">IF($F303="","",(IF(O303="","",IF(O303=$DG303,(VLOOKUP($DH303,$DJ$3:$DK$11,2,FALSE())),0))))</f>
        <v/>
      </c>
      <c r="Q303" s="31"/>
      <c r="R303" s="32" t="str">
        <f t="shared" ref="R303:R311" si="297">IF($F303="","",(IF(Q303="","",IF(Q303=$DG303,(VLOOKUP($DH303,$DJ$3:$DK$11,2,FALSE())),0))))</f>
        <v/>
      </c>
      <c r="S303" s="31"/>
      <c r="T303" s="32" t="str">
        <f t="shared" ref="T303:T311" si="298">IF($F303="","",(IF(S303="","",IF(S303=$DG303,(VLOOKUP($DH303,$DJ$3:$DK$11,2,FALSE())),0))))</f>
        <v/>
      </c>
      <c r="U303" s="31"/>
      <c r="V303" s="32" t="str">
        <f t="shared" ref="V303:V311" si="299">IF($F303="","",(IF(U303="","",IF(U303=$DG303,(VLOOKUP($DH303,$DJ$3:$DK$11,2,FALSE())),0))))</f>
        <v/>
      </c>
      <c r="AF303" s="34"/>
      <c r="AG303" s="34"/>
      <c r="AH303" s="34"/>
      <c r="AI303" s="34"/>
      <c r="AJ303" s="34"/>
      <c r="AN303" s="5"/>
      <c r="AO303" s="5"/>
      <c r="AP303" s="5"/>
      <c r="AQ303" s="5"/>
      <c r="AR303" s="5"/>
      <c r="AS303" s="13"/>
      <c r="AT303" s="5"/>
      <c r="AU303" s="5"/>
      <c r="AV303" s="5"/>
      <c r="AW303" s="5"/>
      <c r="AX303" s="5"/>
      <c r="AY303" s="5"/>
      <c r="BC303" s="6">
        <v>302</v>
      </c>
      <c r="BD303" s="35">
        <f>IF(ISERROR(MATCH(ß01,$C303:$C311,0)),"",MATCH(ß01,$C303:$C311,0))</f>
        <v>8</v>
      </c>
      <c r="BE303" s="35" t="str">
        <f>IF(ISERROR(MATCH(ß01,$E303:$E311,0)),"",MATCH(ß01,$E303:$E311,0))</f>
        <v/>
      </c>
      <c r="BF303" s="15">
        <f>SUM(BD303:BE303)+BC303</f>
        <v>310</v>
      </c>
      <c r="BG303" s="36" t="str">
        <f>IF(ISERROR(MATCH(ß02,$C303:$C311,0)),"",MATCH(ß02,$C303:$C311,0))</f>
        <v/>
      </c>
      <c r="BH303" s="35">
        <f>IF(ISERROR(MATCH(ß02,$E303:$E311,0)),"",MATCH(ß02,$E303:$E311,0))</f>
        <v>4</v>
      </c>
      <c r="BI303" s="15">
        <f>SUM(BG303:BH303)+BC303</f>
        <v>306</v>
      </c>
      <c r="BJ303" s="36" t="str">
        <f>IF(ISERROR(MATCH(ß03,$C303:$C311,0)),"",MATCH(ß03,$C303:$C311,0))</f>
        <v/>
      </c>
      <c r="BK303" s="35">
        <f>IF(ISERROR(MATCH(ß03,$E303:$E311,0)),"",MATCH(ß03,$E303:$E311,0))</f>
        <v>1</v>
      </c>
      <c r="BL303" s="15">
        <f>SUM(BJ303:BK303)+BC303</f>
        <v>303</v>
      </c>
      <c r="BM303" s="36" t="str">
        <f>IF(ISERROR(MATCH(ß04,$C303:$C311,0)),"",MATCH(ß04,$C303:$C311,0))</f>
        <v/>
      </c>
      <c r="BN303" s="35">
        <f>IF(ISERROR(MATCH(ß04,$E303:$E311,0)),"",MATCH(ß04,$E303:$E311,0))</f>
        <v>8</v>
      </c>
      <c r="BO303" s="15">
        <f>SUM(BM303:BN303)+BC303</f>
        <v>310</v>
      </c>
      <c r="BP303" s="36" t="str">
        <f>IF(ISERROR(MATCH(ß05,$C303:$C311,0)),"",MATCH(ß05,$C303:$C311,0))</f>
        <v/>
      </c>
      <c r="BQ303" s="35">
        <f>IF(ISERROR(MATCH(ß05,$E303:$E311,0)),"",MATCH(ß05,$E303:$E311,0))</f>
        <v>2</v>
      </c>
      <c r="BR303" s="15">
        <f>SUM(BP303:BQ303)+BC303</f>
        <v>304</v>
      </c>
      <c r="BS303" s="36" t="str">
        <f>IF(ISERROR(MATCH(ß06,$C303:$C311,0)),"",MATCH(ß06,$C303:$C311,0))</f>
        <v/>
      </c>
      <c r="BT303" s="35">
        <f>IF(ISERROR(MATCH(ß06,$E303:$E311,0)),"",MATCH(ß06,$E303:$E311,0))</f>
        <v>5</v>
      </c>
      <c r="BU303" s="15">
        <f>SUM(BS303:BT303)+BC303</f>
        <v>307</v>
      </c>
      <c r="BV303" s="36">
        <f>IF(ISERROR(MATCH(ß07,$C303:$C311,0)),"",MATCH(ß07,$C303:$C311,0))</f>
        <v>5</v>
      </c>
      <c r="BW303" s="35" t="str">
        <f>IF(ISERROR(MATCH(ß07,$E303:$E311,0)),"",MATCH(ß07,$E303:$E311,0))</f>
        <v/>
      </c>
      <c r="BX303" s="15">
        <f>SUM(BV303:BW303)+BC303</f>
        <v>307</v>
      </c>
      <c r="BY303" s="36" t="str">
        <f>IF(ISERROR(MATCH(ß08,$C303:$C311,0)),"",MATCH(ß08,$C303:$C311,0))</f>
        <v/>
      </c>
      <c r="BZ303" s="35">
        <f>IF(ISERROR(MATCH(ß08,$E303:$E311,0)),"",MATCH(ß08,$E303:$E311,0))</f>
        <v>7</v>
      </c>
      <c r="CA303" s="15">
        <f>SUM(BY303:BZ303)+BC303</f>
        <v>309</v>
      </c>
      <c r="CB303" s="36">
        <f>IF(ISERROR(MATCH(ß09,$C303:$C311,0)),"",MATCH(ß09,$C303:$C311,0))</f>
        <v>7</v>
      </c>
      <c r="CC303" s="35" t="str">
        <f>IF(ISERROR(MATCH(ß09,$E303:$E311,0)),"",MATCH(ß09,$E303:$E311,0))</f>
        <v/>
      </c>
      <c r="CD303" s="15">
        <f>SUM(CB303:CC303)+BC303</f>
        <v>309</v>
      </c>
      <c r="CE303" s="36">
        <f>IF(ISERROR(MATCH(ß10,$C303:$C311,0)),"",MATCH(ß10,$C303:$C311,0))</f>
        <v>4</v>
      </c>
      <c r="CF303" s="35" t="str">
        <f>IF(ISERROR(MATCH(ß10,$E303:$E311,0)),"",MATCH(ß10,$E303:$E311,0))</f>
        <v/>
      </c>
      <c r="CG303" s="15">
        <f>SUM(CE303:CF303)+BC303</f>
        <v>306</v>
      </c>
      <c r="CH303" s="36">
        <f>IF(ISERROR(MATCH(ß11,$C303:$C311,0)),"",MATCH(ß11,$C303:$C311,0))</f>
        <v>1</v>
      </c>
      <c r="CI303" s="35" t="str">
        <f>IF(ISERROR(MATCH(ß11,$E303:$E311,0)),"",MATCH(ß11,$E303:$E311,0))</f>
        <v/>
      </c>
      <c r="CJ303" s="15">
        <f>SUM(CH303:CI303)+BC303</f>
        <v>303</v>
      </c>
      <c r="CK303" s="36" t="str">
        <f>IF(ISERROR(MATCH(ß12,$C303:$C311,0)),"",MATCH(ß12,$C303:$C311,0))</f>
        <v/>
      </c>
      <c r="CL303" s="35">
        <f>IF(ISERROR(MATCH(ß12,$E303:$E311,0)),"",MATCH(ß12,$E303:$E311,0))</f>
        <v>9</v>
      </c>
      <c r="CM303" s="15">
        <f>SUM(CK303:CL303)+BC303</f>
        <v>311</v>
      </c>
      <c r="CN303" s="36">
        <f>IF(ISERROR(MATCH(ß13,$C303:$C311,0)),"",MATCH(ß13,$C303:$C311,0))</f>
        <v>2</v>
      </c>
      <c r="CO303" s="35" t="str">
        <f>IF(ISERROR(MATCH(ß13,$E303:$E311,0)),"",MATCH(ß13,$E303:$E311,0))</f>
        <v/>
      </c>
      <c r="CP303" s="15">
        <f>SUM(CN303:CO303)+BC303</f>
        <v>304</v>
      </c>
      <c r="CQ303" s="36" t="str">
        <f>IF(ISERROR(MATCH(ß14,$C303:$C311,0)),"",MATCH(ß14,$C303:$C311,0))</f>
        <v/>
      </c>
      <c r="CR303" s="35">
        <f>IF(ISERROR(MATCH(ß14,$E303:$E311,0)),"",MATCH(ß14,$E303:$E311,0))</f>
        <v>6</v>
      </c>
      <c r="CS303" s="15">
        <f>SUM(CQ303:CR303)+BC303</f>
        <v>308</v>
      </c>
      <c r="CT303" s="36">
        <f>IF(ISERROR(MATCH(ß15,$C303:$C311,0)),"",MATCH(ß15,$C303:$C311,0))</f>
        <v>6</v>
      </c>
      <c r="CU303" s="35" t="str">
        <f>IF(ISERROR(MATCH(ß15,$E303:$E311,0)),"",MATCH(ß15,$E303:$E311,0))</f>
        <v/>
      </c>
      <c r="CV303" s="15">
        <f>SUM(CT303:CU303)+BC303</f>
        <v>308</v>
      </c>
      <c r="CW303" s="36" t="str">
        <f>IF(ISERROR(MATCH(ß16,$C303:$C311,0)),"",MATCH(ß16,$C303:$C311,0))</f>
        <v/>
      </c>
      <c r="CX303" s="35">
        <f>IF(ISERROR(MATCH(ß16,$E303:$E311,0)),"",MATCH(ß16,$E303:$E311,0))</f>
        <v>3</v>
      </c>
      <c r="CY303" s="15">
        <f>SUM(CW303:CX303)+BC303</f>
        <v>305</v>
      </c>
      <c r="CZ303" s="36">
        <f>IF(ISERROR(MATCH(ß17,$C303:$C311,0)),"",MATCH(ß17,$C303:$C311,0))</f>
        <v>9</v>
      </c>
      <c r="DA303" s="35" t="str">
        <f>IF(ISERROR(MATCH(ß17,$E303:$E311,0)),"",MATCH(ß17,$E303:$E311,0))</f>
        <v/>
      </c>
      <c r="DB303" s="15">
        <f>SUM(CZ303:DA303)+BC303</f>
        <v>311</v>
      </c>
      <c r="DC303" s="36">
        <f>IF(ISERROR(MATCH(ß18,$C303:$C311,0)),"",MATCH(ß18,$C303:$C311,0))</f>
        <v>3</v>
      </c>
      <c r="DD303" s="35" t="str">
        <f>IF(ISERROR(MATCH(ß18,$E303:$E311,0)),"",MATCH(ß18,$E303:$E311,0))</f>
        <v/>
      </c>
      <c r="DE303" s="15">
        <f>SUM(DC303:DD303)+BC303</f>
        <v>305</v>
      </c>
      <c r="DG303" s="8" t="str">
        <f t="shared" ref="DG303:DG311" si="300">IF(F303="","",(IF(F303=H303,0,IF(F303&gt;H303,1,IF(F303&lt;H303,2)))))</f>
        <v/>
      </c>
      <c r="DH303" s="3">
        <f>COUNTIF(I303,DG303)+COUNTIF(K303,DG303)+COUNTIF(M303,DG303)+COUNTIF(O303,DG303)+COUNTIF(Q303,DG303)+COUNTIF(S303,DG303)+COUNTIF(U303,DG303)</f>
        <v>7</v>
      </c>
      <c r="DN303" s="12">
        <f t="shared" ref="DN303:DN311" si="301">F303</f>
        <v>0</v>
      </c>
      <c r="DO303" s="5">
        <f t="shared" ref="DO303:DO311" si="302">H303</f>
        <v>0</v>
      </c>
      <c r="DP303" s="5" t="str">
        <f t="shared" ref="DP303:DP311" si="303">IF($F303="","",IF(DN303&gt;DO303,3,IF(DN303&lt;DO303,0,1)))</f>
        <v/>
      </c>
      <c r="DQ303" s="5" t="str">
        <f t="shared" ref="DQ303:DQ311" si="304">IF($H303="","",IF(DO303&gt;DN303,3,IF(DO303&lt;DN303,0,1)))</f>
        <v/>
      </c>
      <c r="DR303" s="5">
        <f t="shared" ref="DR303:DR311" si="305">IF(ISBLANK(F303),0,1)</f>
        <v>0</v>
      </c>
    </row>
    <row r="304" spans="3:122" ht="11.25" customHeight="1" x14ac:dyDescent="0.2">
      <c r="C304" s="2" t="str">
        <f t="shared" si="291"/>
        <v>Union</v>
      </c>
      <c r="D304" s="3" t="s">
        <v>11</v>
      </c>
      <c r="E304" s="2" t="str">
        <f t="shared" si="292"/>
        <v>Frankfurt</v>
      </c>
      <c r="F304" s="29"/>
      <c r="G304" s="3" t="s">
        <v>12</v>
      </c>
      <c r="H304" s="30"/>
      <c r="I304" s="37"/>
      <c r="J304" s="38" t="str">
        <f t="shared" si="293"/>
        <v/>
      </c>
      <c r="K304" s="37"/>
      <c r="L304" s="38" t="str">
        <f t="shared" si="294"/>
        <v/>
      </c>
      <c r="M304" s="37"/>
      <c r="N304" s="38" t="str">
        <f t="shared" si="295"/>
        <v/>
      </c>
      <c r="O304" s="37"/>
      <c r="P304" s="38" t="str">
        <f t="shared" si="296"/>
        <v/>
      </c>
      <c r="Q304" s="37"/>
      <c r="R304" s="38" t="str">
        <f t="shared" si="297"/>
        <v/>
      </c>
      <c r="S304" s="37"/>
      <c r="T304" s="38" t="str">
        <f t="shared" si="298"/>
        <v/>
      </c>
      <c r="U304" s="37"/>
      <c r="V304" s="38" t="str">
        <f t="shared" si="299"/>
        <v/>
      </c>
      <c r="AF304" s="34"/>
      <c r="AG304" s="34"/>
      <c r="AH304" s="34"/>
      <c r="AI304" s="34"/>
      <c r="AJ304" s="34"/>
      <c r="DG304" s="8" t="str">
        <f t="shared" si="300"/>
        <v/>
      </c>
      <c r="DH304" s="3">
        <f t="shared" ref="DH304:DH311" si="306">COUNTIF(I304,DG304)+COUNTIF(K304,DG304)+COUNTIF(M304,DG304)+COUNTIF(O304,DG304)+COUNTIF(Q304,DG304)+COUNTIF(S304,DG304)+COUNTIF(U304,DG304)</f>
        <v>7</v>
      </c>
      <c r="DN304" s="12">
        <f t="shared" si="301"/>
        <v>0</v>
      </c>
      <c r="DO304" s="5">
        <f t="shared" si="302"/>
        <v>0</v>
      </c>
      <c r="DP304" s="5" t="str">
        <f t="shared" si="303"/>
        <v/>
      </c>
      <c r="DQ304" s="5" t="str">
        <f t="shared" si="304"/>
        <v/>
      </c>
      <c r="DR304" s="5">
        <f t="shared" si="305"/>
        <v>0</v>
      </c>
    </row>
    <row r="305" spans="3:122" ht="11.25" customHeight="1" x14ac:dyDescent="0.2">
      <c r="C305" s="2" t="str">
        <f t="shared" si="291"/>
        <v>Wolfsburg</v>
      </c>
      <c r="D305" s="3" t="s">
        <v>11</v>
      </c>
      <c r="E305" s="2" t="str">
        <f t="shared" si="292"/>
        <v>Dortmund</v>
      </c>
      <c r="F305" s="29"/>
      <c r="G305" s="3" t="s">
        <v>12</v>
      </c>
      <c r="H305" s="30"/>
      <c r="I305" s="37"/>
      <c r="J305" s="38" t="str">
        <f t="shared" si="293"/>
        <v/>
      </c>
      <c r="K305" s="37"/>
      <c r="L305" s="38" t="str">
        <f t="shared" si="294"/>
        <v/>
      </c>
      <c r="M305" s="37"/>
      <c r="N305" s="38" t="str">
        <f t="shared" si="295"/>
        <v/>
      </c>
      <c r="O305" s="37"/>
      <c r="P305" s="38" t="str">
        <f t="shared" si="296"/>
        <v/>
      </c>
      <c r="Q305" s="37"/>
      <c r="R305" s="38" t="str">
        <f t="shared" si="297"/>
        <v/>
      </c>
      <c r="S305" s="37"/>
      <c r="T305" s="38" t="str">
        <f t="shared" si="298"/>
        <v/>
      </c>
      <c r="U305" s="37"/>
      <c r="V305" s="38" t="str">
        <f t="shared" si="299"/>
        <v/>
      </c>
      <c r="AF305" s="34"/>
      <c r="AG305" s="34"/>
      <c r="AH305" s="34"/>
      <c r="AI305" s="34"/>
      <c r="AJ305" s="34"/>
      <c r="DG305" s="8" t="str">
        <f t="shared" si="300"/>
        <v/>
      </c>
      <c r="DH305" s="3">
        <f t="shared" si="306"/>
        <v>7</v>
      </c>
      <c r="DN305" s="12">
        <f t="shared" si="301"/>
        <v>0</v>
      </c>
      <c r="DO305" s="5">
        <f t="shared" si="302"/>
        <v>0</v>
      </c>
      <c r="DP305" s="5" t="str">
        <f t="shared" si="303"/>
        <v/>
      </c>
      <c r="DQ305" s="5" t="str">
        <f t="shared" si="304"/>
        <v/>
      </c>
      <c r="DR305" s="5">
        <f t="shared" si="305"/>
        <v>0</v>
      </c>
    </row>
    <row r="306" spans="3:122" ht="11.25" customHeight="1" x14ac:dyDescent="0.2">
      <c r="C306" s="2" t="str">
        <f t="shared" si="291"/>
        <v>Köln</v>
      </c>
      <c r="D306" s="3" t="s">
        <v>11</v>
      </c>
      <c r="E306" s="2" t="str">
        <f t="shared" si="292"/>
        <v>Leipzig</v>
      </c>
      <c r="F306" s="29"/>
      <c r="G306" s="3" t="s">
        <v>12</v>
      </c>
      <c r="H306" s="30"/>
      <c r="I306" s="37"/>
      <c r="J306" s="38" t="str">
        <f t="shared" si="293"/>
        <v/>
      </c>
      <c r="K306" s="37"/>
      <c r="L306" s="38" t="str">
        <f t="shared" si="294"/>
        <v/>
      </c>
      <c r="M306" s="37"/>
      <c r="N306" s="38" t="str">
        <f t="shared" si="295"/>
        <v/>
      </c>
      <c r="O306" s="37"/>
      <c r="P306" s="38" t="str">
        <f t="shared" si="296"/>
        <v/>
      </c>
      <c r="Q306" s="37"/>
      <c r="R306" s="38" t="str">
        <f t="shared" si="297"/>
        <v/>
      </c>
      <c r="S306" s="37"/>
      <c r="T306" s="38" t="str">
        <f t="shared" si="298"/>
        <v/>
      </c>
      <c r="U306" s="37"/>
      <c r="V306" s="38" t="str">
        <f t="shared" si="299"/>
        <v/>
      </c>
      <c r="AF306" s="34"/>
      <c r="AG306" s="34"/>
      <c r="AH306" s="34"/>
      <c r="AI306" s="34"/>
      <c r="AJ306" s="34"/>
      <c r="DG306" s="8" t="str">
        <f t="shared" si="300"/>
        <v/>
      </c>
      <c r="DH306" s="3">
        <f t="shared" si="306"/>
        <v>7</v>
      </c>
      <c r="DN306" s="12">
        <f t="shared" si="301"/>
        <v>0</v>
      </c>
      <c r="DO306" s="5">
        <f t="shared" si="302"/>
        <v>0</v>
      </c>
      <c r="DP306" s="5" t="str">
        <f t="shared" si="303"/>
        <v/>
      </c>
      <c r="DQ306" s="5" t="str">
        <f t="shared" si="304"/>
        <v/>
      </c>
      <c r="DR306" s="5">
        <f t="shared" si="305"/>
        <v>0</v>
      </c>
    </row>
    <row r="307" spans="3:122" ht="11.25" customHeight="1" x14ac:dyDescent="0.2">
      <c r="C307" s="2" t="str">
        <f t="shared" si="291"/>
        <v>Freiburg</v>
      </c>
      <c r="D307" s="3" t="s">
        <v>11</v>
      </c>
      <c r="E307" s="2" t="str">
        <f t="shared" si="292"/>
        <v>Werder</v>
      </c>
      <c r="F307" s="29"/>
      <c r="G307" s="3" t="s">
        <v>12</v>
      </c>
      <c r="H307" s="30"/>
      <c r="I307" s="37"/>
      <c r="J307" s="38" t="str">
        <f t="shared" si="293"/>
        <v/>
      </c>
      <c r="K307" s="37"/>
      <c r="L307" s="38" t="str">
        <f t="shared" si="294"/>
        <v/>
      </c>
      <c r="M307" s="37"/>
      <c r="N307" s="38" t="str">
        <f t="shared" si="295"/>
        <v/>
      </c>
      <c r="O307" s="37"/>
      <c r="P307" s="38" t="str">
        <f t="shared" si="296"/>
        <v/>
      </c>
      <c r="Q307" s="37"/>
      <c r="R307" s="38" t="str">
        <f t="shared" si="297"/>
        <v/>
      </c>
      <c r="S307" s="37"/>
      <c r="T307" s="38" t="str">
        <f t="shared" si="298"/>
        <v/>
      </c>
      <c r="U307" s="37"/>
      <c r="V307" s="38" t="str">
        <f t="shared" si="299"/>
        <v/>
      </c>
      <c r="AF307" s="34"/>
      <c r="AG307" s="34"/>
      <c r="AH307" s="34"/>
      <c r="AI307" s="34"/>
      <c r="AJ307" s="34"/>
      <c r="DG307" s="8" t="str">
        <f t="shared" si="300"/>
        <v/>
      </c>
      <c r="DH307" s="3">
        <f t="shared" si="306"/>
        <v>7</v>
      </c>
      <c r="DN307" s="12">
        <f t="shared" si="301"/>
        <v>0</v>
      </c>
      <c r="DO307" s="5">
        <f t="shared" si="302"/>
        <v>0</v>
      </c>
      <c r="DP307" s="5" t="str">
        <f t="shared" si="303"/>
        <v/>
      </c>
      <c r="DQ307" s="5" t="str">
        <f t="shared" si="304"/>
        <v/>
      </c>
      <c r="DR307" s="5">
        <f t="shared" si="305"/>
        <v>0</v>
      </c>
    </row>
    <row r="308" spans="3:122" ht="11.25" customHeight="1" x14ac:dyDescent="0.2">
      <c r="C308" s="2" t="str">
        <f t="shared" si="291"/>
        <v>St. Pauli</v>
      </c>
      <c r="D308" s="3" t="s">
        <v>11</v>
      </c>
      <c r="E308" s="2" t="str">
        <f t="shared" si="292"/>
        <v>Stuttgart</v>
      </c>
      <c r="F308" s="29"/>
      <c r="G308" s="3" t="s">
        <v>12</v>
      </c>
      <c r="H308" s="30"/>
      <c r="I308" s="37"/>
      <c r="J308" s="38" t="str">
        <f t="shared" si="293"/>
        <v/>
      </c>
      <c r="K308" s="37"/>
      <c r="L308" s="38" t="str">
        <f t="shared" si="294"/>
        <v/>
      </c>
      <c r="M308" s="37"/>
      <c r="N308" s="38" t="str">
        <f t="shared" si="295"/>
        <v/>
      </c>
      <c r="O308" s="37"/>
      <c r="P308" s="38" t="str">
        <f t="shared" si="296"/>
        <v/>
      </c>
      <c r="Q308" s="37"/>
      <c r="R308" s="38" t="str">
        <f t="shared" si="297"/>
        <v/>
      </c>
      <c r="S308" s="37"/>
      <c r="T308" s="38" t="str">
        <f t="shared" si="298"/>
        <v/>
      </c>
      <c r="U308" s="37"/>
      <c r="V308" s="38" t="str">
        <f t="shared" si="299"/>
        <v/>
      </c>
      <c r="AF308" s="34"/>
      <c r="AG308" s="34"/>
      <c r="AH308" s="34"/>
      <c r="AI308" s="34"/>
      <c r="AJ308" s="34"/>
      <c r="DG308" s="8" t="str">
        <f t="shared" si="300"/>
        <v/>
      </c>
      <c r="DH308" s="3">
        <f t="shared" si="306"/>
        <v>7</v>
      </c>
      <c r="DN308" s="12">
        <f t="shared" si="301"/>
        <v>0</v>
      </c>
      <c r="DO308" s="5">
        <f t="shared" si="302"/>
        <v>0</v>
      </c>
      <c r="DP308" s="5" t="str">
        <f t="shared" si="303"/>
        <v/>
      </c>
      <c r="DQ308" s="5" t="str">
        <f t="shared" si="304"/>
        <v/>
      </c>
      <c r="DR308" s="5">
        <f t="shared" si="305"/>
        <v>0</v>
      </c>
    </row>
    <row r="309" spans="3:122" ht="11.25" customHeight="1" x14ac:dyDescent="0.2">
      <c r="C309" s="2" t="str">
        <f t="shared" si="291"/>
        <v>Mainz</v>
      </c>
      <c r="D309" s="3" t="s">
        <v>11</v>
      </c>
      <c r="E309" s="2" t="str">
        <f t="shared" si="292"/>
        <v>Augsburg</v>
      </c>
      <c r="F309" s="29"/>
      <c r="G309" s="3" t="s">
        <v>12</v>
      </c>
      <c r="H309" s="30"/>
      <c r="I309" s="37"/>
      <c r="J309" s="38" t="str">
        <f t="shared" si="293"/>
        <v/>
      </c>
      <c r="K309" s="37"/>
      <c r="L309" s="38" t="str">
        <f t="shared" si="294"/>
        <v/>
      </c>
      <c r="M309" s="37"/>
      <c r="N309" s="38" t="str">
        <f t="shared" si="295"/>
        <v/>
      </c>
      <c r="O309" s="37"/>
      <c r="P309" s="38" t="str">
        <f t="shared" si="296"/>
        <v/>
      </c>
      <c r="Q309" s="37"/>
      <c r="R309" s="38" t="str">
        <f t="shared" si="297"/>
        <v/>
      </c>
      <c r="S309" s="37"/>
      <c r="T309" s="38" t="str">
        <f t="shared" si="298"/>
        <v/>
      </c>
      <c r="U309" s="37"/>
      <c r="V309" s="38" t="str">
        <f t="shared" si="299"/>
        <v/>
      </c>
      <c r="AF309" s="34"/>
      <c r="AG309" s="34"/>
      <c r="AH309" s="34"/>
      <c r="AI309" s="34"/>
      <c r="AJ309" s="34"/>
      <c r="DG309" s="8" t="str">
        <f t="shared" si="300"/>
        <v/>
      </c>
      <c r="DH309" s="3">
        <f t="shared" si="306"/>
        <v>7</v>
      </c>
      <c r="DN309" s="12">
        <f t="shared" si="301"/>
        <v>0</v>
      </c>
      <c r="DO309" s="5">
        <f t="shared" si="302"/>
        <v>0</v>
      </c>
      <c r="DP309" s="5" t="str">
        <f t="shared" si="303"/>
        <v/>
      </c>
      <c r="DQ309" s="5" t="str">
        <f t="shared" si="304"/>
        <v/>
      </c>
      <c r="DR309" s="5">
        <f t="shared" si="305"/>
        <v>0</v>
      </c>
    </row>
    <row r="310" spans="3:122" ht="11.25" customHeight="1" x14ac:dyDescent="0.2">
      <c r="C310" s="2" t="str">
        <f t="shared" si="291"/>
        <v>Bayern</v>
      </c>
      <c r="D310" s="3" t="s">
        <v>11</v>
      </c>
      <c r="E310" s="2" t="str">
        <f t="shared" si="292"/>
        <v>Hoffenheim</v>
      </c>
      <c r="F310" s="29"/>
      <c r="G310" s="3" t="s">
        <v>12</v>
      </c>
      <c r="H310" s="30"/>
      <c r="I310" s="37"/>
      <c r="J310" s="38" t="str">
        <f t="shared" si="293"/>
        <v/>
      </c>
      <c r="K310" s="37"/>
      <c r="L310" s="38" t="str">
        <f t="shared" si="294"/>
        <v/>
      </c>
      <c r="M310" s="37"/>
      <c r="N310" s="38" t="str">
        <f t="shared" si="295"/>
        <v/>
      </c>
      <c r="O310" s="37"/>
      <c r="P310" s="38" t="str">
        <f t="shared" si="296"/>
        <v/>
      </c>
      <c r="Q310" s="37"/>
      <c r="R310" s="38" t="str">
        <f t="shared" si="297"/>
        <v/>
      </c>
      <c r="S310" s="37"/>
      <c r="T310" s="38" t="str">
        <f t="shared" si="298"/>
        <v/>
      </c>
      <c r="U310" s="37"/>
      <c r="V310" s="38" t="str">
        <f t="shared" si="299"/>
        <v/>
      </c>
      <c r="AF310" s="34"/>
      <c r="AG310" s="34"/>
      <c r="AH310" s="34"/>
      <c r="AI310" s="34"/>
      <c r="AJ310" s="34"/>
      <c r="DG310" s="8" t="str">
        <f t="shared" si="300"/>
        <v/>
      </c>
      <c r="DH310" s="3">
        <f t="shared" si="306"/>
        <v>7</v>
      </c>
      <c r="DN310" s="12">
        <f t="shared" si="301"/>
        <v>0</v>
      </c>
      <c r="DO310" s="5">
        <f t="shared" si="302"/>
        <v>0</v>
      </c>
      <c r="DP310" s="5" t="str">
        <f t="shared" si="303"/>
        <v/>
      </c>
      <c r="DQ310" s="5" t="str">
        <f t="shared" si="304"/>
        <v/>
      </c>
      <c r="DR310" s="5">
        <f t="shared" si="305"/>
        <v>0</v>
      </c>
    </row>
    <row r="311" spans="3:122" ht="11.25" customHeight="1" thickBot="1" x14ac:dyDescent="0.25">
      <c r="C311" s="2" t="str">
        <f t="shared" si="291"/>
        <v>Heidenheim</v>
      </c>
      <c r="D311" s="3" t="s">
        <v>11</v>
      </c>
      <c r="E311" s="2" t="str">
        <f t="shared" si="292"/>
        <v>HSV</v>
      </c>
      <c r="F311" s="29"/>
      <c r="G311" s="3" t="s">
        <v>12</v>
      </c>
      <c r="H311" s="30"/>
      <c r="I311" s="37"/>
      <c r="J311" s="38" t="str">
        <f t="shared" si="293"/>
        <v/>
      </c>
      <c r="K311" s="37"/>
      <c r="L311" s="38" t="str">
        <f t="shared" si="294"/>
        <v/>
      </c>
      <c r="M311" s="37"/>
      <c r="N311" s="38" t="str">
        <f t="shared" si="295"/>
        <v/>
      </c>
      <c r="O311" s="37"/>
      <c r="P311" s="38" t="str">
        <f t="shared" si="296"/>
        <v/>
      </c>
      <c r="Q311" s="37"/>
      <c r="R311" s="38" t="str">
        <f t="shared" si="297"/>
        <v/>
      </c>
      <c r="S311" s="37"/>
      <c r="T311" s="38" t="str">
        <f t="shared" si="298"/>
        <v/>
      </c>
      <c r="U311" s="37"/>
      <c r="V311" s="38" t="str">
        <f t="shared" si="299"/>
        <v/>
      </c>
      <c r="AF311" s="34"/>
      <c r="AG311" s="34"/>
      <c r="AH311" s="34"/>
      <c r="AI311" s="34"/>
      <c r="AJ311" s="34"/>
      <c r="DG311" s="8" t="str">
        <f t="shared" si="300"/>
        <v/>
      </c>
      <c r="DH311" s="3">
        <f t="shared" si="306"/>
        <v>7</v>
      </c>
      <c r="DN311" s="12">
        <f t="shared" si="301"/>
        <v>0</v>
      </c>
      <c r="DO311" s="5">
        <f t="shared" si="302"/>
        <v>0</v>
      </c>
      <c r="DP311" s="5" t="str">
        <f t="shared" si="303"/>
        <v/>
      </c>
      <c r="DQ311" s="5" t="str">
        <f t="shared" si="304"/>
        <v/>
      </c>
      <c r="DR311" s="5">
        <f t="shared" si="305"/>
        <v>0</v>
      </c>
    </row>
    <row r="312" spans="3:122" ht="11.25" customHeight="1" thickTop="1" x14ac:dyDescent="0.2">
      <c r="C312" s="41">
        <f>(I312+K312+M312+O312+Q312+S312+U312)</f>
        <v>0</v>
      </c>
      <c r="E312" s="42">
        <f>C312/8</f>
        <v>0</v>
      </c>
      <c r="F312" s="41">
        <f>SUM(F303:F311)</f>
        <v>0</v>
      </c>
      <c r="G312" s="2"/>
      <c r="H312" s="43">
        <f>SUM(H303:H311)</f>
        <v>0</v>
      </c>
      <c r="I312" s="44">
        <f>COUNTIF(J303:J311,"&gt;0")</f>
        <v>0</v>
      </c>
      <c r="J312" s="45">
        <f>I312+J297</f>
        <v>0</v>
      </c>
      <c r="K312" s="44">
        <f>COUNTIF(L303:L311,"&gt;0")</f>
        <v>0</v>
      </c>
      <c r="L312" s="45">
        <f>K312+L297</f>
        <v>0</v>
      </c>
      <c r="M312" s="44">
        <f>COUNTIF(N303:N311,"&gt;0")</f>
        <v>0</v>
      </c>
      <c r="N312" s="45">
        <f>M312+N297</f>
        <v>0</v>
      </c>
      <c r="O312" s="44">
        <f>COUNTIF(P303:P311,"&gt;0")</f>
        <v>0</v>
      </c>
      <c r="P312" s="45">
        <f>O312+P297</f>
        <v>0</v>
      </c>
      <c r="Q312" s="44">
        <f>COUNTIF(R303:R311,"&gt;0")</f>
        <v>0</v>
      </c>
      <c r="R312" s="45">
        <f>Q312+R297</f>
        <v>0</v>
      </c>
      <c r="S312" s="44">
        <f>COUNTIF(T303:T311,"&gt;0")</f>
        <v>0</v>
      </c>
      <c r="T312" s="45">
        <f>S312+T297</f>
        <v>0</v>
      </c>
      <c r="U312" s="44">
        <f>COUNTIF(V303:V311,"&gt;0")</f>
        <v>0</v>
      </c>
      <c r="V312" s="45">
        <f>U312+V297</f>
        <v>0</v>
      </c>
      <c r="AF312" s="34"/>
      <c r="AG312" s="34"/>
      <c r="AH312" s="34"/>
      <c r="AI312" s="34"/>
      <c r="AJ312" s="34"/>
    </row>
    <row r="313" spans="3:122" ht="11.25" customHeight="1" x14ac:dyDescent="0.2">
      <c r="C313" s="41">
        <f>(I313+K313+M313+O313+Q313+S313+U313)</f>
        <v>0</v>
      </c>
      <c r="E313" s="42">
        <f>C313/8</f>
        <v>0</v>
      </c>
      <c r="F313" s="137">
        <f>F312+H312</f>
        <v>0</v>
      </c>
      <c r="G313" s="137"/>
      <c r="H313" s="137"/>
      <c r="I313" s="46">
        <f>SUM(J303:J311)</f>
        <v>0</v>
      </c>
      <c r="J313" s="47">
        <f>I313+J298</f>
        <v>0</v>
      </c>
      <c r="K313" s="46">
        <f>SUM(L303:L311)</f>
        <v>0</v>
      </c>
      <c r="L313" s="47">
        <f>K313+L298</f>
        <v>0</v>
      </c>
      <c r="M313" s="46">
        <f>SUM(N303:N311)</f>
        <v>0</v>
      </c>
      <c r="N313" s="47">
        <f>M313+N298</f>
        <v>0</v>
      </c>
      <c r="O313" s="46">
        <f>SUM(P303:P311)</f>
        <v>0</v>
      </c>
      <c r="P313" s="47">
        <f>O313+P298</f>
        <v>0</v>
      </c>
      <c r="Q313" s="46">
        <f>SUM(R303:R311)</f>
        <v>0</v>
      </c>
      <c r="R313" s="47">
        <f>Q313+R298</f>
        <v>0</v>
      </c>
      <c r="S313" s="46">
        <f>SUM(T303:T311)</f>
        <v>0</v>
      </c>
      <c r="T313" s="47">
        <f>S313+T298</f>
        <v>0</v>
      </c>
      <c r="U313" s="46">
        <f>SUM(V303:V311)</f>
        <v>0</v>
      </c>
      <c r="V313" s="47">
        <f>U313+V298</f>
        <v>0</v>
      </c>
      <c r="AF313" s="34"/>
      <c r="AG313" s="34"/>
      <c r="AH313" s="34"/>
      <c r="AI313" s="34"/>
      <c r="AJ313" s="34"/>
    </row>
    <row r="314" spans="3:122" ht="11.25" customHeight="1" thickBot="1" x14ac:dyDescent="0.25">
      <c r="C314" s="41">
        <f>(I314+K314+M314+O314+Q314+S314+U314)</f>
        <v>0</v>
      </c>
      <c r="E314" s="42">
        <f>C314/8</f>
        <v>0</v>
      </c>
      <c r="F314" s="138">
        <f>F313+F299</f>
        <v>0</v>
      </c>
      <c r="G314" s="138"/>
      <c r="H314" s="138"/>
      <c r="I314" s="48">
        <f>I312*I313</f>
        <v>0</v>
      </c>
      <c r="J314" s="49">
        <f>I314+J299</f>
        <v>0</v>
      </c>
      <c r="K314" s="48">
        <f>K312*K313</f>
        <v>0</v>
      </c>
      <c r="L314" s="49">
        <f>K314+L299</f>
        <v>0</v>
      </c>
      <c r="M314" s="48">
        <f>M312*M313</f>
        <v>0</v>
      </c>
      <c r="N314" s="49">
        <f>M314+N299</f>
        <v>0</v>
      </c>
      <c r="O314" s="48">
        <f>O312*O313</f>
        <v>0</v>
      </c>
      <c r="P314" s="49">
        <f>O314+P299</f>
        <v>0</v>
      </c>
      <c r="Q314" s="48">
        <f>Q312*Q313</f>
        <v>0</v>
      </c>
      <c r="R314" s="49">
        <f>Q314+R299</f>
        <v>0</v>
      </c>
      <c r="S314" s="48">
        <f>S312*S313</f>
        <v>0</v>
      </c>
      <c r="T314" s="49">
        <f>S314+T299</f>
        <v>0</v>
      </c>
      <c r="U314" s="48">
        <f>U312*U313</f>
        <v>0</v>
      </c>
      <c r="V314" s="49">
        <f>U314+V299</f>
        <v>0</v>
      </c>
      <c r="AF314" s="34"/>
      <c r="AG314" s="34"/>
      <c r="AH314" s="34"/>
      <c r="AI314" s="34"/>
      <c r="AJ314" s="34"/>
      <c r="AL314" s="5">
        <f>MAX(I314,K314,M314,O314,Q314,S314,U314)</f>
        <v>0</v>
      </c>
      <c r="AM314" s="5">
        <f>MIN(I314,K314,M314,O314,Q314,S314,U314)</f>
        <v>0</v>
      </c>
      <c r="AN314" s="5"/>
      <c r="AO314" s="5"/>
      <c r="AP314" s="5"/>
      <c r="AQ314" s="5"/>
      <c r="AR314" s="5"/>
      <c r="AS314" s="13"/>
      <c r="AT314" s="5"/>
      <c r="AU314" s="5"/>
      <c r="AV314" s="5"/>
      <c r="AW314" s="5"/>
      <c r="AX314" s="5"/>
      <c r="AY314" s="5"/>
      <c r="AZ314" s="5"/>
      <c r="BA314" s="5"/>
      <c r="BB314" s="5"/>
      <c r="BD314" s="5"/>
      <c r="BE314" s="5"/>
      <c r="BF314" s="14"/>
      <c r="BG314" s="13"/>
      <c r="BH314" s="5"/>
      <c r="BI314" s="14"/>
      <c r="BJ314" s="13"/>
      <c r="BK314" s="5"/>
      <c r="BL314" s="14"/>
      <c r="BM314" s="13"/>
      <c r="BN314" s="5"/>
      <c r="BO314" s="14"/>
      <c r="BP314" s="13"/>
      <c r="BQ314" s="5"/>
      <c r="BR314" s="14"/>
      <c r="BS314" s="13"/>
      <c r="BT314" s="5"/>
      <c r="BU314" s="14"/>
      <c r="BV314" s="13"/>
      <c r="BW314" s="5"/>
      <c r="BX314" s="14"/>
      <c r="BY314" s="13"/>
      <c r="BZ314" s="5"/>
      <c r="CA314" s="14"/>
      <c r="CB314" s="13"/>
      <c r="CC314" s="5"/>
      <c r="CD314" s="14"/>
      <c r="CE314" s="13"/>
      <c r="CF314" s="5"/>
      <c r="CG314" s="14"/>
      <c r="CH314" s="13"/>
      <c r="CI314" s="5"/>
      <c r="CJ314" s="14"/>
      <c r="CK314" s="13"/>
      <c r="CL314" s="5"/>
      <c r="CM314" s="14"/>
      <c r="CN314" s="13"/>
      <c r="CO314" s="5"/>
      <c r="CP314" s="14"/>
      <c r="CQ314" s="13"/>
      <c r="CR314" s="5"/>
      <c r="CS314" s="14"/>
      <c r="CT314" s="13"/>
      <c r="CU314" s="5"/>
      <c r="CV314" s="14"/>
      <c r="CW314" s="13"/>
      <c r="CX314" s="5"/>
      <c r="CY314" s="14"/>
      <c r="CZ314" s="13"/>
      <c r="DA314" s="5"/>
      <c r="DB314" s="14"/>
      <c r="DC314" s="13"/>
      <c r="DD314" s="5"/>
      <c r="DE314" s="14"/>
      <c r="DF314" s="5"/>
      <c r="DG314" s="5"/>
      <c r="DH314" s="5"/>
    </row>
    <row r="315" spans="3:122" ht="11.25" customHeight="1" thickTop="1" x14ac:dyDescent="0.2">
      <c r="I315" s="50"/>
      <c r="J315" s="50">
        <f>L314-J314</f>
        <v>0</v>
      </c>
      <c r="K315" s="50"/>
      <c r="L315" s="50"/>
      <c r="M315" s="50"/>
      <c r="N315" s="50">
        <f>L314-N314</f>
        <v>0</v>
      </c>
      <c r="O315" s="50"/>
      <c r="P315" s="50">
        <f>L314-P314</f>
        <v>0</v>
      </c>
      <c r="Q315" s="50"/>
      <c r="R315" s="50">
        <f>L314-R314</f>
        <v>0</v>
      </c>
      <c r="S315" s="50"/>
      <c r="T315" s="50">
        <f>L314-T314</f>
        <v>0</v>
      </c>
      <c r="U315" s="50"/>
      <c r="V315" s="50">
        <f>L314-V314</f>
        <v>0</v>
      </c>
    </row>
    <row r="316" spans="3:122" ht="11.25" customHeight="1" x14ac:dyDescent="0.2">
      <c r="I316" s="139" t="str">
        <f>ß101</f>
        <v>Kropp</v>
      </c>
      <c r="J316" s="139"/>
      <c r="K316" s="139" t="str">
        <f>ß102</f>
        <v>Nörnberg</v>
      </c>
      <c r="L316" s="139"/>
      <c r="M316" s="139" t="str">
        <f>ß103</f>
        <v>Bübel</v>
      </c>
      <c r="N316" s="139"/>
      <c r="O316" s="139" t="str">
        <f>ß104</f>
        <v>Schwicht.</v>
      </c>
      <c r="P316" s="139"/>
      <c r="Q316" s="139" t="str">
        <f>ß105</f>
        <v>Rontzko.</v>
      </c>
      <c r="R316" s="139"/>
      <c r="S316" s="139" t="str">
        <f>ß106</f>
        <v>Hauschildt</v>
      </c>
      <c r="T316" s="139"/>
      <c r="U316" s="139" t="str">
        <f>ß107</f>
        <v>Zerres</v>
      </c>
      <c r="V316" s="139"/>
      <c r="AF316" s="11"/>
      <c r="AG316" s="11"/>
      <c r="AH316" s="11"/>
      <c r="AI316" s="11"/>
      <c r="AJ316" s="11"/>
      <c r="AL316" s="5" t="str">
        <f>IF($I329=$AL329,I316,"x")</f>
        <v>Kropp</v>
      </c>
      <c r="AM316" s="5" t="str">
        <f>IF($K329=$AL329,K316,"x")</f>
        <v>Nörnberg</v>
      </c>
      <c r="AN316" s="5" t="str">
        <f>IF($M329=$AL329,M316,"x")</f>
        <v>Bübel</v>
      </c>
      <c r="AO316" s="5" t="str">
        <f>IF($O329=$AL329,O316,"x")</f>
        <v>Schwicht.</v>
      </c>
      <c r="AP316" s="5" t="str">
        <f>IF($Q329=$AL329,Q316,"x")</f>
        <v>Rontzko.</v>
      </c>
      <c r="AQ316" s="5" t="str">
        <f>IF($S329=$AL329,S316,"x")</f>
        <v>Hauschildt</v>
      </c>
      <c r="AR316" s="5" t="str">
        <f>IF($U329=$AL329,U316,"x")</f>
        <v>Zerres</v>
      </c>
      <c r="AS316" s="13" t="str">
        <f>IF($I329=$AM329,I316,"x")</f>
        <v>Kropp</v>
      </c>
      <c r="AT316" s="5" t="str">
        <f>IF($K329=$AM329,K316,"x")</f>
        <v>Nörnberg</v>
      </c>
      <c r="AU316" s="5" t="str">
        <f>IF($M329=$AM329,M316,"x")</f>
        <v>Bübel</v>
      </c>
      <c r="AV316" s="5" t="str">
        <f>IF($O329=$AM329,O316,"x")</f>
        <v>Schwicht.</v>
      </c>
      <c r="AW316" s="5" t="str">
        <f>IF($Q329=$AM329,Q316,"x")</f>
        <v>Rontzko.</v>
      </c>
      <c r="AX316" s="5" t="str">
        <f>IF($S329=$AM329,S316,"x")</f>
        <v>Hauschildt</v>
      </c>
      <c r="AY316" s="5" t="str">
        <f>IF($U329=$AM329,U316,"x")</f>
        <v>Zerres</v>
      </c>
      <c r="BD316" s="140" t="str">
        <f>ß01</f>
        <v>Bayern</v>
      </c>
      <c r="BE316" s="140"/>
      <c r="BF316" s="140"/>
      <c r="BG316" s="141" t="str">
        <f>ß02</f>
        <v>Leipzig</v>
      </c>
      <c r="BH316" s="141"/>
      <c r="BI316" s="141"/>
      <c r="BJ316" s="141" t="str">
        <f>ß03</f>
        <v>Leverk.</v>
      </c>
      <c r="BK316" s="141"/>
      <c r="BL316" s="141"/>
      <c r="BM316" s="141" t="str">
        <f>ß04</f>
        <v>Hoffenheim</v>
      </c>
      <c r="BN316" s="141"/>
      <c r="BO316" s="141"/>
      <c r="BP316" s="141" t="str">
        <f>ß05</f>
        <v>Frankfurt</v>
      </c>
      <c r="BQ316" s="141"/>
      <c r="BR316" s="141"/>
      <c r="BS316" s="141" t="str">
        <f>ß06</f>
        <v>Werder</v>
      </c>
      <c r="BT316" s="141"/>
      <c r="BU316" s="141"/>
      <c r="BV316" s="141" t="str">
        <f>ß07</f>
        <v>Freiburg</v>
      </c>
      <c r="BW316" s="141"/>
      <c r="BX316" s="141"/>
      <c r="BY316" s="141" t="str">
        <f>ß08</f>
        <v>Augsburg</v>
      </c>
      <c r="BZ316" s="141"/>
      <c r="CA316" s="141"/>
      <c r="CB316" s="141" t="str">
        <f>ß09</f>
        <v>Mainz</v>
      </c>
      <c r="CC316" s="141"/>
      <c r="CD316" s="141"/>
      <c r="CE316" s="141" t="str">
        <f>ß10</f>
        <v>Köln</v>
      </c>
      <c r="CF316" s="141"/>
      <c r="CG316" s="141"/>
      <c r="CH316" s="141" t="str">
        <f>ß11</f>
        <v>M'gladb.</v>
      </c>
      <c r="CI316" s="141"/>
      <c r="CJ316" s="141"/>
      <c r="CK316" s="141" t="str">
        <f>ß12</f>
        <v>HSV</v>
      </c>
      <c r="CL316" s="141"/>
      <c r="CM316" s="141"/>
      <c r="CN316" s="141" t="str">
        <f>ß13</f>
        <v>Union</v>
      </c>
      <c r="CO316" s="141"/>
      <c r="CP316" s="141"/>
      <c r="CQ316" s="141" t="str">
        <f>ß14</f>
        <v>Stuttgart</v>
      </c>
      <c r="CR316" s="141"/>
      <c r="CS316" s="141"/>
      <c r="CT316" s="141" t="str">
        <f>ß15</f>
        <v>St. Pauli</v>
      </c>
      <c r="CU316" s="141"/>
      <c r="CV316" s="141"/>
      <c r="CW316" s="141" t="str">
        <f>ß16</f>
        <v>Dortmund</v>
      </c>
      <c r="CX316" s="141"/>
      <c r="CY316" s="141"/>
      <c r="CZ316" s="141" t="str">
        <f>ß17</f>
        <v>Heidenheim</v>
      </c>
      <c r="DA316" s="141"/>
      <c r="DB316" s="141"/>
      <c r="DC316" s="141" t="str">
        <f>ß18</f>
        <v>Wolfsburg</v>
      </c>
      <c r="DD316" s="141"/>
      <c r="DE316" s="141"/>
    </row>
    <row r="317" spans="3:122" ht="11.25" customHeight="1" x14ac:dyDescent="0.2">
      <c r="C317" s="16" t="str">
        <f>Mannschaften!F22</f>
        <v>22. Spieltag</v>
      </c>
      <c r="D317" s="11"/>
      <c r="E317" s="17" t="str">
        <f>Mannschaften!G22</f>
        <v>13.-15.2.26</v>
      </c>
      <c r="I317" s="19">
        <f>RANK(Rang!A22,Rang!A22:G22)</f>
        <v>1</v>
      </c>
      <c r="J317" s="20">
        <f>RANK(Rang!H22,Rang!H22:N22)</f>
        <v>1</v>
      </c>
      <c r="K317" s="19">
        <f>RANK(Rang!B22,Rang!A22:G22)</f>
        <v>1</v>
      </c>
      <c r="L317" s="20">
        <f>RANK(Rang!I22,Rang!H22:N22)</f>
        <v>1</v>
      </c>
      <c r="M317" s="19">
        <f>RANK(Rang!C22,Rang!A22:G22)</f>
        <v>1</v>
      </c>
      <c r="N317" s="20">
        <f>RANK(Rang!J22,Rang!H22:N22)</f>
        <v>1</v>
      </c>
      <c r="O317" s="19">
        <f>RANK(Rang!D22,Rang!A22:G22)</f>
        <v>1</v>
      </c>
      <c r="P317" s="20">
        <f>RANK(Rang!K22,Rang!H22:N22)</f>
        <v>1</v>
      </c>
      <c r="Q317" s="19">
        <f>RANK(Rang!E22,Rang!A22:G22)</f>
        <v>1</v>
      </c>
      <c r="R317" s="20">
        <f>RANK(Rang!L22,Rang!H22:N22)</f>
        <v>1</v>
      </c>
      <c r="S317" s="19">
        <f>RANK(Rang!F22,Rang!A22:G22)</f>
        <v>1</v>
      </c>
      <c r="T317" s="20">
        <f>RANK(Rang!M22,Rang!H22:N22)</f>
        <v>1</v>
      </c>
      <c r="U317" s="19">
        <f>RANK(Rang!G22,Rang!A22:G22)</f>
        <v>1</v>
      </c>
      <c r="V317" s="20">
        <f>RANK(Rang!N22,Rang!H22:N22)</f>
        <v>1</v>
      </c>
      <c r="AF317" s="22"/>
      <c r="AG317" s="22"/>
      <c r="AH317" s="22"/>
      <c r="AI317" s="22"/>
      <c r="AJ317" s="22"/>
      <c r="AK317" s="21"/>
      <c r="AL317" s="21"/>
      <c r="AM317" s="21"/>
      <c r="AN317" s="21"/>
      <c r="AO317" s="21"/>
      <c r="AP317" s="21"/>
      <c r="AQ317" s="21"/>
      <c r="AR317" s="21"/>
      <c r="AS317" s="24"/>
      <c r="AT317" s="21"/>
      <c r="AU317" s="21"/>
      <c r="AV317" s="21"/>
      <c r="AW317" s="21"/>
      <c r="AX317" s="21"/>
      <c r="AY317" s="21"/>
      <c r="AZ317" s="21"/>
      <c r="BA317" s="21"/>
      <c r="BB317" s="21"/>
      <c r="BD317" s="25" t="s">
        <v>4</v>
      </c>
      <c r="BE317" s="25" t="s">
        <v>5</v>
      </c>
      <c r="BF317" s="26" t="s">
        <v>6</v>
      </c>
      <c r="BG317" s="27" t="s">
        <v>4</v>
      </c>
      <c r="BH317" s="25" t="s">
        <v>5</v>
      </c>
      <c r="BI317" s="26" t="s">
        <v>6</v>
      </c>
      <c r="BJ317" s="27" t="s">
        <v>4</v>
      </c>
      <c r="BK317" s="25" t="s">
        <v>5</v>
      </c>
      <c r="BL317" s="26" t="s">
        <v>6</v>
      </c>
      <c r="BM317" s="27" t="s">
        <v>4</v>
      </c>
      <c r="BN317" s="25" t="s">
        <v>5</v>
      </c>
      <c r="BO317" s="26" t="s">
        <v>6</v>
      </c>
      <c r="BP317" s="27" t="s">
        <v>4</v>
      </c>
      <c r="BQ317" s="25" t="s">
        <v>5</v>
      </c>
      <c r="BR317" s="26" t="s">
        <v>6</v>
      </c>
      <c r="BS317" s="27" t="s">
        <v>4</v>
      </c>
      <c r="BT317" s="25" t="s">
        <v>5</v>
      </c>
      <c r="BU317" s="26" t="s">
        <v>6</v>
      </c>
      <c r="BV317" s="27" t="s">
        <v>4</v>
      </c>
      <c r="BW317" s="25" t="s">
        <v>5</v>
      </c>
      <c r="BX317" s="26" t="s">
        <v>6</v>
      </c>
      <c r="BY317" s="27" t="s">
        <v>4</v>
      </c>
      <c r="BZ317" s="25" t="s">
        <v>5</v>
      </c>
      <c r="CA317" s="26" t="s">
        <v>6</v>
      </c>
      <c r="CB317" s="27" t="s">
        <v>4</v>
      </c>
      <c r="CC317" s="25" t="s">
        <v>5</v>
      </c>
      <c r="CD317" s="26" t="s">
        <v>6</v>
      </c>
      <c r="CE317" s="27" t="s">
        <v>4</v>
      </c>
      <c r="CF317" s="25" t="s">
        <v>5</v>
      </c>
      <c r="CG317" s="26" t="s">
        <v>6</v>
      </c>
      <c r="CH317" s="27" t="s">
        <v>4</v>
      </c>
      <c r="CI317" s="25" t="s">
        <v>5</v>
      </c>
      <c r="CJ317" s="26" t="s">
        <v>6</v>
      </c>
      <c r="CK317" s="27" t="s">
        <v>4</v>
      </c>
      <c r="CL317" s="25" t="s">
        <v>5</v>
      </c>
      <c r="CM317" s="26" t="s">
        <v>6</v>
      </c>
      <c r="CN317" s="27" t="s">
        <v>4</v>
      </c>
      <c r="CO317" s="25" t="s">
        <v>5</v>
      </c>
      <c r="CP317" s="26" t="s">
        <v>6</v>
      </c>
      <c r="CQ317" s="27" t="s">
        <v>4</v>
      </c>
      <c r="CR317" s="25" t="s">
        <v>5</v>
      </c>
      <c r="CS317" s="26" t="s">
        <v>6</v>
      </c>
      <c r="CT317" s="27" t="s">
        <v>4</v>
      </c>
      <c r="CU317" s="25" t="s">
        <v>5</v>
      </c>
      <c r="CV317" s="26" t="s">
        <v>6</v>
      </c>
      <c r="CW317" s="27" t="s">
        <v>4</v>
      </c>
      <c r="CX317" s="25" t="s">
        <v>5</v>
      </c>
      <c r="CY317" s="26" t="s">
        <v>6</v>
      </c>
      <c r="CZ317" s="27" t="s">
        <v>4</v>
      </c>
      <c r="DA317" s="25" t="s">
        <v>5</v>
      </c>
      <c r="DB317" s="26" t="s">
        <v>6</v>
      </c>
      <c r="DC317" s="27" t="s">
        <v>4</v>
      </c>
      <c r="DD317" s="25" t="s">
        <v>5</v>
      </c>
      <c r="DE317" s="26" t="s">
        <v>6</v>
      </c>
      <c r="DF317" s="21"/>
      <c r="DG317" s="21"/>
      <c r="DH317" s="21"/>
      <c r="DN317" s="136" t="s">
        <v>7</v>
      </c>
      <c r="DO317" s="136"/>
      <c r="DP317" s="136" t="s">
        <v>8</v>
      </c>
      <c r="DQ317" s="136"/>
      <c r="DR317" s="28"/>
    </row>
    <row r="318" spans="3:122" ht="11.25" customHeight="1" x14ac:dyDescent="0.2">
      <c r="C318" s="2" t="str">
        <f t="shared" ref="C318:C326" si="307">E63</f>
        <v>Werder</v>
      </c>
      <c r="D318" s="3" t="s">
        <v>11</v>
      </c>
      <c r="E318" s="2" t="str">
        <f>C63</f>
        <v>Bayern</v>
      </c>
      <c r="F318" s="29"/>
      <c r="G318" s="3" t="s">
        <v>12</v>
      </c>
      <c r="H318" s="30"/>
      <c r="I318" s="31"/>
      <c r="J318" s="32" t="str">
        <f t="shared" ref="J318:J326" si="308">IF($F318="","",(IF(I318="","",IF(I318=$DG318,(VLOOKUP($DH318,$DJ$3:$DK$11,2,FALSE())),0))))</f>
        <v/>
      </c>
      <c r="K318" s="31"/>
      <c r="L318" s="32" t="str">
        <f t="shared" ref="L318:L326" si="309">IF($F318="","",(IF(K318="","",IF(K318=$DG318,(VLOOKUP($DH318,$DJ$3:$DK$11,2,FALSE())),0))))</f>
        <v/>
      </c>
      <c r="M318" s="31"/>
      <c r="N318" s="32" t="str">
        <f t="shared" ref="N318:N326" si="310">IF($F318="","",(IF(M318="","",IF(M318=$DG318,(VLOOKUP($DH318,$DJ$3:$DK$11,2,FALSE())),0))))</f>
        <v/>
      </c>
      <c r="O318" s="31"/>
      <c r="P318" s="32" t="str">
        <f t="shared" ref="P318:P326" si="311">IF($F318="","",(IF(O318="","",IF(O318=$DG318,(VLOOKUP($DH318,$DJ$3:$DK$11,2,FALSE())),0))))</f>
        <v/>
      </c>
      <c r="Q318" s="31"/>
      <c r="R318" s="32" t="str">
        <f t="shared" ref="R318:R326" si="312">IF($F318="","",(IF(Q318="","",IF(Q318=$DG318,(VLOOKUP($DH318,$DJ$3:$DK$11,2,FALSE())),0))))</f>
        <v/>
      </c>
      <c r="S318" s="31"/>
      <c r="T318" s="32" t="str">
        <f t="shared" ref="T318:T326" si="313">IF($F318="","",(IF(S318="","",IF(S318=$DG318,(VLOOKUP($DH318,$DJ$3:$DK$11,2,FALSE())),0))))</f>
        <v/>
      </c>
      <c r="U318" s="31"/>
      <c r="V318" s="32" t="str">
        <f t="shared" ref="V318:V326" si="314">IF($F318="","",(IF(U318="","",IF(U318=$DG318,(VLOOKUP($DH318,$DJ$3:$DK$11,2,FALSE())),0))))</f>
        <v/>
      </c>
      <c r="AF318" s="34"/>
      <c r="AG318" s="34"/>
      <c r="AH318" s="34"/>
      <c r="AI318" s="34"/>
      <c r="AJ318" s="34"/>
      <c r="AN318" s="5"/>
      <c r="AO318" s="5"/>
      <c r="AP318" s="5"/>
      <c r="AQ318" s="5"/>
      <c r="AR318" s="5"/>
      <c r="AS318" s="13"/>
      <c r="AT318" s="5"/>
      <c r="AU318" s="5"/>
      <c r="AV318" s="5"/>
      <c r="AW318" s="5"/>
      <c r="AX318" s="5"/>
      <c r="AY318" s="5"/>
      <c r="BC318" s="6">
        <v>317</v>
      </c>
      <c r="BD318" s="35" t="str">
        <f>IF(ISERROR(MATCH(ß01,$C318:$C326,0)),"",MATCH(ß01,$C318:$C326,0))</f>
        <v/>
      </c>
      <c r="BE318" s="35">
        <f>IF(ISERROR(MATCH(ß01,$E318:$E326,0)),"",MATCH(ß01,$E318:$E326,0))</f>
        <v>1</v>
      </c>
      <c r="BF318" s="15">
        <f>SUM(BD318:BE318)+BC318</f>
        <v>318</v>
      </c>
      <c r="BG318" s="36">
        <f>IF(ISERROR(MATCH(ß02,$C318:$C326,0)),"",MATCH(ß02,$C318:$C326,0))</f>
        <v>5</v>
      </c>
      <c r="BH318" s="35" t="str">
        <f>IF(ISERROR(MATCH(ß02,$E318:$E326,0)),"",MATCH(ß02,$E318:$E326,0))</f>
        <v/>
      </c>
      <c r="BI318" s="15">
        <f>SUM(BG318:BH318)+BC318</f>
        <v>322</v>
      </c>
      <c r="BJ318" s="36">
        <f>IF(ISERROR(MATCH(ß03,$C318:$C326,0)),"",MATCH(ß03,$C318:$C326,0))</f>
        <v>7</v>
      </c>
      <c r="BK318" s="35" t="str">
        <f>IF(ISERROR(MATCH(ß03,$E318:$E326,0)),"",MATCH(ß03,$E318:$E326,0))</f>
        <v/>
      </c>
      <c r="BL318" s="15">
        <f>SUM(BJ318:BK318)+BC318</f>
        <v>324</v>
      </c>
      <c r="BM318" s="36">
        <f>IF(ISERROR(MATCH(ß04,$C318:$C326,0)),"",MATCH(ß04,$C318:$C326,0))</f>
        <v>2</v>
      </c>
      <c r="BN318" s="35" t="str">
        <f>IF(ISERROR(MATCH(ß04,$E318:$E326,0)),"",MATCH(ß04,$E318:$E326,0))</f>
        <v/>
      </c>
      <c r="BO318" s="15">
        <f>SUM(BM318:BN318)+BC318</f>
        <v>319</v>
      </c>
      <c r="BP318" s="36">
        <f>IF(ISERROR(MATCH(ß05,$C318:$C326,0)),"",MATCH(ß05,$C318:$C326,0))</f>
        <v>4</v>
      </c>
      <c r="BQ318" s="35" t="str">
        <f>IF(ISERROR(MATCH(ß05,$E318:$E326,0)),"",MATCH(ß05,$E318:$E326,0))</f>
        <v/>
      </c>
      <c r="BR318" s="15">
        <f>SUM(BP318:BQ318)+BC318</f>
        <v>321</v>
      </c>
      <c r="BS318" s="36">
        <f>IF(ISERROR(MATCH(ß06,$C318:$C326,0)),"",MATCH(ß06,$C318:$C326,0))</f>
        <v>1</v>
      </c>
      <c r="BT318" s="35" t="str">
        <f>IF(ISERROR(MATCH(ß06,$E318:$E326,0)),"",MATCH(ß06,$E318:$E326,0))</f>
        <v/>
      </c>
      <c r="BU318" s="15">
        <f>SUM(BS318:BT318)+BC318</f>
        <v>318</v>
      </c>
      <c r="BV318" s="36" t="str">
        <f>IF(ISERROR(MATCH(ß07,$C318:$C326,0)),"",MATCH(ß07,$C318:$C326,0))</f>
        <v/>
      </c>
      <c r="BW318" s="35">
        <f>IF(ISERROR(MATCH(ß07,$E318:$E326,0)),"",MATCH(ß07,$E318:$E326,0))</f>
        <v>2</v>
      </c>
      <c r="BX318" s="15">
        <f>SUM(BV318:BW318)+BC318</f>
        <v>319</v>
      </c>
      <c r="BY318" s="36">
        <f>IF(ISERROR(MATCH(ß08,$C318:$C326,0)),"",MATCH(ß08,$C318:$C326,0))</f>
        <v>8</v>
      </c>
      <c r="BZ318" s="35" t="str">
        <f>IF(ISERROR(MATCH(ß08,$E318:$E326,0)),"",MATCH(ß08,$E318:$E326,0))</f>
        <v/>
      </c>
      <c r="CA318" s="15">
        <f>SUM(BY318:BZ318)+BC318</f>
        <v>325</v>
      </c>
      <c r="CB318" s="36" t="str">
        <f>IF(ISERROR(MATCH(ß09,$C318:$C326,0)),"",MATCH(ß09,$C318:$C326,0))</f>
        <v/>
      </c>
      <c r="CC318" s="35">
        <f>IF(ISERROR(MATCH(ß09,$E318:$E326,0)),"",MATCH(ß09,$E318:$E326,0))</f>
        <v>3</v>
      </c>
      <c r="CD318" s="15">
        <f>SUM(CB318:CC318)+BC318</f>
        <v>320</v>
      </c>
      <c r="CE318" s="36" t="str">
        <f>IF(ISERROR(MATCH(ß10,$C318:$C326,0)),"",MATCH(ß10,$C318:$C326,0))</f>
        <v/>
      </c>
      <c r="CF318" s="35">
        <f>IF(ISERROR(MATCH(ß10,$E318:$E326,0)),"",MATCH(ß10,$E318:$E326,0))</f>
        <v>9</v>
      </c>
      <c r="CG318" s="15">
        <f>SUM(CE318:CF318)+BC318</f>
        <v>326</v>
      </c>
      <c r="CH318" s="36" t="str">
        <f>IF(ISERROR(MATCH(ß11,$C318:$C326,0)),"",MATCH(ß11,$C318:$C326,0))</f>
        <v/>
      </c>
      <c r="CI318" s="35">
        <f>IF(ISERROR(MATCH(ß11,$E318:$E326,0)),"",MATCH(ß11,$E318:$E326,0))</f>
        <v>4</v>
      </c>
      <c r="CJ318" s="15">
        <f>SUM(CH318:CI318)+BC318</f>
        <v>321</v>
      </c>
      <c r="CK318" s="36">
        <f>IF(ISERROR(MATCH(ß12,$C318:$C326,0)),"",MATCH(ß12,$C318:$C326,0))</f>
        <v>6</v>
      </c>
      <c r="CL318" s="35" t="str">
        <f>IF(ISERROR(MATCH(ß12,$E318:$E326,0)),"",MATCH(ß12,$E318:$E326,0))</f>
        <v/>
      </c>
      <c r="CM318" s="15">
        <f>SUM(CK318:CL318)+BC318</f>
        <v>323</v>
      </c>
      <c r="CN318" s="36" t="str">
        <f>IF(ISERROR(MATCH(ß13,$C318:$C326,0)),"",MATCH(ß13,$C318:$C326,0))</f>
        <v/>
      </c>
      <c r="CO318" s="35">
        <f>IF(ISERROR(MATCH(ß13,$E318:$E326,0)),"",MATCH(ß13,$E318:$E326,0))</f>
        <v>6</v>
      </c>
      <c r="CP318" s="15">
        <f>SUM(CN318:CO318)+BC318</f>
        <v>323</v>
      </c>
      <c r="CQ318" s="36">
        <f>IF(ISERROR(MATCH(ß14,$C318:$C326,0)),"",MATCH(ß14,$C318:$C326,0))</f>
        <v>9</v>
      </c>
      <c r="CR318" s="35" t="str">
        <f>IF(ISERROR(MATCH(ß14,$E318:$E326,0)),"",MATCH(ß14,$E318:$E326,0))</f>
        <v/>
      </c>
      <c r="CS318" s="15">
        <f>SUM(CQ318:CR318)+BC318</f>
        <v>326</v>
      </c>
      <c r="CT318" s="36" t="str">
        <f>IF(ISERROR(MATCH(ß15,$C318:$C326,0)),"",MATCH(ß15,$C318:$C326,0))</f>
        <v/>
      </c>
      <c r="CU318" s="35">
        <f>IF(ISERROR(MATCH(ß15,$E318:$E326,0)),"",MATCH(ß15,$E318:$E326,0))</f>
        <v>7</v>
      </c>
      <c r="CV318" s="15">
        <f>SUM(CT318:CU318)+BC318</f>
        <v>324</v>
      </c>
      <c r="CW318" s="36">
        <f>IF(ISERROR(MATCH(ß16,$C318:$C326,0)),"",MATCH(ß16,$C318:$C326,0))</f>
        <v>3</v>
      </c>
      <c r="CX318" s="35" t="str">
        <f>IF(ISERROR(MATCH(ß16,$E318:$E326,0)),"",MATCH(ß16,$E318:$E326,0))</f>
        <v/>
      </c>
      <c r="CY318" s="15">
        <f>SUM(CW318:CX318)+BC318</f>
        <v>320</v>
      </c>
      <c r="CZ318" s="36" t="str">
        <f>IF(ISERROR(MATCH(ß17,$C318:$C326,0)),"",MATCH(ß17,$C318:$C326,0))</f>
        <v/>
      </c>
      <c r="DA318" s="35">
        <f>IF(ISERROR(MATCH(ß17,$E318:$E326,0)),"",MATCH(ß17,$E318:$E326,0))</f>
        <v>8</v>
      </c>
      <c r="DB318" s="15">
        <f>SUM(CZ318:DA318)+BC318</f>
        <v>325</v>
      </c>
      <c r="DC318" s="36" t="str">
        <f>IF(ISERROR(MATCH(ß18,$C318:$C326,0)),"",MATCH(ß18,$C318:$C326,0))</f>
        <v/>
      </c>
      <c r="DD318" s="35">
        <f>IF(ISERROR(MATCH(ß18,$E318:$E326,0)),"",MATCH(ß18,$E318:$E326,0))</f>
        <v>5</v>
      </c>
      <c r="DE318" s="15">
        <f>SUM(DC318:DD318)+BC318</f>
        <v>322</v>
      </c>
      <c r="DG318" s="8" t="str">
        <f t="shared" ref="DG318:DG326" si="315">IF(F318="","",(IF(F318=H318,0,IF(F318&gt;H318,1,IF(F318&lt;H318,2)))))</f>
        <v/>
      </c>
      <c r="DH318" s="3">
        <f>COUNTIF(I318,DG318)+COUNTIF(K318,DG318)+COUNTIF(M318,DG318)+COUNTIF(O318,DG318)+COUNTIF(Q318,DG318)+COUNTIF(S318,DG318)+COUNTIF(U318,DG318)</f>
        <v>7</v>
      </c>
      <c r="DN318" s="12">
        <f t="shared" ref="DN318:DN326" si="316">F318</f>
        <v>0</v>
      </c>
      <c r="DO318" s="5">
        <f t="shared" ref="DO318:DO326" si="317">H318</f>
        <v>0</v>
      </c>
      <c r="DP318" s="5" t="str">
        <f t="shared" ref="DP318:DP326" si="318">IF($F318="","",IF(DN318&gt;DO318,3,IF(DN318&lt;DO318,0,1)))</f>
        <v/>
      </c>
      <c r="DQ318" s="5" t="str">
        <f t="shared" ref="DQ318:DQ326" si="319">IF($H318="","",IF(DO318&gt;DN318,3,IF(DO318&lt;DN318,0,1)))</f>
        <v/>
      </c>
      <c r="DR318" s="5">
        <f t="shared" ref="DR318:DR326" si="320">IF(ISBLANK(F318),0,1)</f>
        <v>0</v>
      </c>
    </row>
    <row r="319" spans="3:122" ht="11.25" customHeight="1" x14ac:dyDescent="0.2">
      <c r="C319" s="2" t="str">
        <f t="shared" si="307"/>
        <v>Hoffenheim</v>
      </c>
      <c r="D319" s="3" t="s">
        <v>11</v>
      </c>
      <c r="E319" s="2" t="str">
        <f t="shared" ref="E319:E326" si="321">C64</f>
        <v>Freiburg</v>
      </c>
      <c r="F319" s="29"/>
      <c r="G319" s="3" t="s">
        <v>12</v>
      </c>
      <c r="H319" s="30"/>
      <c r="I319" s="37"/>
      <c r="J319" s="38" t="str">
        <f t="shared" si="308"/>
        <v/>
      </c>
      <c r="K319" s="37"/>
      <c r="L319" s="38" t="str">
        <f t="shared" si="309"/>
        <v/>
      </c>
      <c r="M319" s="37"/>
      <c r="N319" s="38" t="str">
        <f t="shared" si="310"/>
        <v/>
      </c>
      <c r="O319" s="37"/>
      <c r="P319" s="38" t="str">
        <f t="shared" si="311"/>
        <v/>
      </c>
      <c r="Q319" s="37"/>
      <c r="R319" s="38" t="str">
        <f t="shared" si="312"/>
        <v/>
      </c>
      <c r="S319" s="37"/>
      <c r="T319" s="38" t="str">
        <f t="shared" si="313"/>
        <v/>
      </c>
      <c r="U319" s="33"/>
      <c r="V319" s="38" t="str">
        <f t="shared" si="314"/>
        <v/>
      </c>
      <c r="AF319" s="34"/>
      <c r="AG319" s="34"/>
      <c r="AH319" s="34"/>
      <c r="AI319" s="34"/>
      <c r="AJ319" s="34"/>
      <c r="DG319" s="8" t="str">
        <f t="shared" si="315"/>
        <v/>
      </c>
      <c r="DH319" s="3">
        <f t="shared" ref="DH319:DH326" si="322">COUNTIF(I319,DG319)+COUNTIF(K319,DG319)+COUNTIF(M319,DG319)+COUNTIF(O319,DG319)+COUNTIF(Q319,DG319)+COUNTIF(S319,DG319)+COUNTIF(U319,DG319)</f>
        <v>7</v>
      </c>
      <c r="DN319" s="12">
        <f t="shared" si="316"/>
        <v>0</v>
      </c>
      <c r="DO319" s="5">
        <f t="shared" si="317"/>
        <v>0</v>
      </c>
      <c r="DP319" s="5" t="str">
        <f t="shared" si="318"/>
        <v/>
      </c>
      <c r="DQ319" s="5" t="str">
        <f t="shared" si="319"/>
        <v/>
      </c>
      <c r="DR319" s="5">
        <f t="shared" si="320"/>
        <v>0</v>
      </c>
    </row>
    <row r="320" spans="3:122" ht="11.25" customHeight="1" x14ac:dyDescent="0.2">
      <c r="C320" s="2" t="str">
        <f t="shared" si="307"/>
        <v>Dortmund</v>
      </c>
      <c r="D320" s="3" t="s">
        <v>11</v>
      </c>
      <c r="E320" s="2" t="str">
        <f t="shared" si="321"/>
        <v>Mainz</v>
      </c>
      <c r="F320" s="29"/>
      <c r="G320" s="3" t="s">
        <v>12</v>
      </c>
      <c r="H320" s="30"/>
      <c r="I320" s="37"/>
      <c r="J320" s="38" t="str">
        <f t="shared" si="308"/>
        <v/>
      </c>
      <c r="K320" s="37"/>
      <c r="L320" s="38" t="str">
        <f t="shared" si="309"/>
        <v/>
      </c>
      <c r="M320" s="37"/>
      <c r="N320" s="38" t="str">
        <f t="shared" si="310"/>
        <v/>
      </c>
      <c r="O320" s="37"/>
      <c r="P320" s="38" t="str">
        <f t="shared" si="311"/>
        <v/>
      </c>
      <c r="Q320" s="37"/>
      <c r="R320" s="38" t="str">
        <f t="shared" si="312"/>
        <v/>
      </c>
      <c r="S320" s="37"/>
      <c r="T320" s="38" t="str">
        <f t="shared" si="313"/>
        <v/>
      </c>
      <c r="U320" s="33"/>
      <c r="V320" s="38" t="str">
        <f t="shared" si="314"/>
        <v/>
      </c>
      <c r="AF320" s="34"/>
      <c r="AG320" s="34"/>
      <c r="AH320" s="34"/>
      <c r="AI320" s="34"/>
      <c r="AJ320" s="34"/>
      <c r="DG320" s="8" t="str">
        <f t="shared" si="315"/>
        <v/>
      </c>
      <c r="DH320" s="3">
        <f t="shared" si="322"/>
        <v>7</v>
      </c>
      <c r="DN320" s="12">
        <f t="shared" si="316"/>
        <v>0</v>
      </c>
      <c r="DO320" s="5">
        <f t="shared" si="317"/>
        <v>0</v>
      </c>
      <c r="DP320" s="5" t="str">
        <f t="shared" si="318"/>
        <v/>
      </c>
      <c r="DQ320" s="5" t="str">
        <f t="shared" si="319"/>
        <v/>
      </c>
      <c r="DR320" s="5">
        <f t="shared" si="320"/>
        <v>0</v>
      </c>
    </row>
    <row r="321" spans="3:122" ht="11.25" customHeight="1" x14ac:dyDescent="0.2">
      <c r="C321" s="2" t="str">
        <f t="shared" si="307"/>
        <v>Frankfurt</v>
      </c>
      <c r="D321" s="3" t="s">
        <v>11</v>
      </c>
      <c r="E321" s="2" t="str">
        <f t="shared" si="321"/>
        <v>M'gladb.</v>
      </c>
      <c r="F321" s="29"/>
      <c r="G321" s="3" t="s">
        <v>12</v>
      </c>
      <c r="H321" s="30"/>
      <c r="I321" s="37"/>
      <c r="J321" s="38" t="str">
        <f t="shared" si="308"/>
        <v/>
      </c>
      <c r="K321" s="37"/>
      <c r="L321" s="38" t="str">
        <f t="shared" si="309"/>
        <v/>
      </c>
      <c r="M321" s="37"/>
      <c r="N321" s="38" t="str">
        <f t="shared" si="310"/>
        <v/>
      </c>
      <c r="O321" s="37"/>
      <c r="P321" s="38" t="str">
        <f t="shared" si="311"/>
        <v/>
      </c>
      <c r="Q321" s="37"/>
      <c r="R321" s="38" t="str">
        <f t="shared" si="312"/>
        <v/>
      </c>
      <c r="S321" s="37"/>
      <c r="T321" s="38" t="str">
        <f t="shared" si="313"/>
        <v/>
      </c>
      <c r="U321" s="33"/>
      <c r="V321" s="38" t="str">
        <f t="shared" si="314"/>
        <v/>
      </c>
      <c r="AF321" s="34"/>
      <c r="AG321" s="34"/>
      <c r="AH321" s="34"/>
      <c r="AI321" s="34"/>
      <c r="AJ321" s="34"/>
      <c r="DG321" s="8" t="str">
        <f t="shared" si="315"/>
        <v/>
      </c>
      <c r="DH321" s="3">
        <f t="shared" si="322"/>
        <v>7</v>
      </c>
      <c r="DN321" s="12">
        <f t="shared" si="316"/>
        <v>0</v>
      </c>
      <c r="DO321" s="5">
        <f t="shared" si="317"/>
        <v>0</v>
      </c>
      <c r="DP321" s="5" t="str">
        <f t="shared" si="318"/>
        <v/>
      </c>
      <c r="DQ321" s="5" t="str">
        <f t="shared" si="319"/>
        <v/>
      </c>
      <c r="DR321" s="5">
        <f t="shared" si="320"/>
        <v>0</v>
      </c>
    </row>
    <row r="322" spans="3:122" ht="11.25" customHeight="1" x14ac:dyDescent="0.2">
      <c r="C322" s="2" t="str">
        <f t="shared" si="307"/>
        <v>Leipzig</v>
      </c>
      <c r="D322" s="3" t="s">
        <v>11</v>
      </c>
      <c r="E322" s="2" t="str">
        <f t="shared" si="321"/>
        <v>Wolfsburg</v>
      </c>
      <c r="F322" s="29"/>
      <c r="G322" s="3" t="s">
        <v>12</v>
      </c>
      <c r="H322" s="30"/>
      <c r="I322" s="37"/>
      <c r="J322" s="38" t="str">
        <f t="shared" si="308"/>
        <v/>
      </c>
      <c r="K322" s="37"/>
      <c r="L322" s="38" t="str">
        <f t="shared" si="309"/>
        <v/>
      </c>
      <c r="M322" s="37"/>
      <c r="N322" s="38" t="str">
        <f t="shared" si="310"/>
        <v/>
      </c>
      <c r="O322" s="37"/>
      <c r="P322" s="38" t="str">
        <f t="shared" si="311"/>
        <v/>
      </c>
      <c r="Q322" s="37"/>
      <c r="R322" s="38" t="str">
        <f t="shared" si="312"/>
        <v/>
      </c>
      <c r="S322" s="37"/>
      <c r="T322" s="38" t="str">
        <f t="shared" si="313"/>
        <v/>
      </c>
      <c r="U322" s="33"/>
      <c r="V322" s="38" t="str">
        <f t="shared" si="314"/>
        <v/>
      </c>
      <c r="AF322" s="34"/>
      <c r="AG322" s="34"/>
      <c r="AH322" s="34"/>
      <c r="AI322" s="34"/>
      <c r="AJ322" s="34"/>
      <c r="DG322" s="8" t="str">
        <f t="shared" si="315"/>
        <v/>
      </c>
      <c r="DH322" s="3">
        <f t="shared" si="322"/>
        <v>7</v>
      </c>
      <c r="DN322" s="12">
        <f t="shared" si="316"/>
        <v>0</v>
      </c>
      <c r="DO322" s="5">
        <f t="shared" si="317"/>
        <v>0</v>
      </c>
      <c r="DP322" s="5" t="str">
        <f t="shared" si="318"/>
        <v/>
      </c>
      <c r="DQ322" s="5" t="str">
        <f t="shared" si="319"/>
        <v/>
      </c>
      <c r="DR322" s="5">
        <f t="shared" si="320"/>
        <v>0</v>
      </c>
    </row>
    <row r="323" spans="3:122" ht="11.25" customHeight="1" x14ac:dyDescent="0.2">
      <c r="C323" s="2" t="str">
        <f t="shared" si="307"/>
        <v>HSV</v>
      </c>
      <c r="D323" s="3" t="s">
        <v>11</v>
      </c>
      <c r="E323" s="2" t="str">
        <f t="shared" si="321"/>
        <v>Union</v>
      </c>
      <c r="F323" s="29"/>
      <c r="G323" s="3" t="s">
        <v>12</v>
      </c>
      <c r="H323" s="30"/>
      <c r="I323" s="37"/>
      <c r="J323" s="38" t="str">
        <f t="shared" si="308"/>
        <v/>
      </c>
      <c r="K323" s="37"/>
      <c r="L323" s="38" t="str">
        <f t="shared" si="309"/>
        <v/>
      </c>
      <c r="M323" s="37"/>
      <c r="N323" s="38" t="str">
        <f t="shared" si="310"/>
        <v/>
      </c>
      <c r="O323" s="37"/>
      <c r="P323" s="38" t="str">
        <f t="shared" si="311"/>
        <v/>
      </c>
      <c r="Q323" s="37"/>
      <c r="R323" s="38" t="str">
        <f t="shared" si="312"/>
        <v/>
      </c>
      <c r="S323" s="37"/>
      <c r="T323" s="38" t="str">
        <f t="shared" si="313"/>
        <v/>
      </c>
      <c r="U323" s="33"/>
      <c r="V323" s="38" t="str">
        <f t="shared" si="314"/>
        <v/>
      </c>
      <c r="AF323" s="34"/>
      <c r="AG323" s="34"/>
      <c r="AH323" s="34"/>
      <c r="AI323" s="34"/>
      <c r="AJ323" s="34"/>
      <c r="DG323" s="8" t="str">
        <f t="shared" si="315"/>
        <v/>
      </c>
      <c r="DH323" s="3">
        <f t="shared" si="322"/>
        <v>7</v>
      </c>
      <c r="DN323" s="12">
        <f t="shared" si="316"/>
        <v>0</v>
      </c>
      <c r="DO323" s="5">
        <f t="shared" si="317"/>
        <v>0</v>
      </c>
      <c r="DP323" s="5" t="str">
        <f t="shared" si="318"/>
        <v/>
      </c>
      <c r="DQ323" s="5" t="str">
        <f t="shared" si="319"/>
        <v/>
      </c>
      <c r="DR323" s="5">
        <f t="shared" si="320"/>
        <v>0</v>
      </c>
    </row>
    <row r="324" spans="3:122" ht="11.25" customHeight="1" x14ac:dyDescent="0.2">
      <c r="C324" s="2" t="str">
        <f t="shared" si="307"/>
        <v>Leverk.</v>
      </c>
      <c r="D324" s="3" t="s">
        <v>11</v>
      </c>
      <c r="E324" s="2" t="str">
        <f t="shared" si="321"/>
        <v>St. Pauli</v>
      </c>
      <c r="F324" s="29"/>
      <c r="G324" s="3" t="s">
        <v>12</v>
      </c>
      <c r="H324" s="30"/>
      <c r="I324" s="37"/>
      <c r="J324" s="38" t="str">
        <f t="shared" si="308"/>
        <v/>
      </c>
      <c r="K324" s="37"/>
      <c r="L324" s="38" t="str">
        <f t="shared" si="309"/>
        <v/>
      </c>
      <c r="M324" s="37"/>
      <c r="N324" s="38" t="str">
        <f t="shared" si="310"/>
        <v/>
      </c>
      <c r="O324" s="37"/>
      <c r="P324" s="38" t="str">
        <f t="shared" si="311"/>
        <v/>
      </c>
      <c r="Q324" s="37"/>
      <c r="R324" s="38" t="str">
        <f t="shared" si="312"/>
        <v/>
      </c>
      <c r="S324" s="37"/>
      <c r="T324" s="38" t="str">
        <f t="shared" si="313"/>
        <v/>
      </c>
      <c r="U324" s="33"/>
      <c r="V324" s="38" t="str">
        <f t="shared" si="314"/>
        <v/>
      </c>
      <c r="AF324" s="34"/>
      <c r="AG324" s="34"/>
      <c r="AH324" s="34"/>
      <c r="AI324" s="34"/>
      <c r="AJ324" s="34"/>
      <c r="DG324" s="8" t="str">
        <f t="shared" si="315"/>
        <v/>
      </c>
      <c r="DH324" s="3">
        <f t="shared" si="322"/>
        <v>7</v>
      </c>
      <c r="DN324" s="12">
        <f t="shared" si="316"/>
        <v>0</v>
      </c>
      <c r="DO324" s="5">
        <f t="shared" si="317"/>
        <v>0</v>
      </c>
      <c r="DP324" s="5" t="str">
        <f t="shared" si="318"/>
        <v/>
      </c>
      <c r="DQ324" s="5" t="str">
        <f t="shared" si="319"/>
        <v/>
      </c>
      <c r="DR324" s="5">
        <f t="shared" si="320"/>
        <v>0</v>
      </c>
    </row>
    <row r="325" spans="3:122" ht="11.25" customHeight="1" x14ac:dyDescent="0.2">
      <c r="C325" s="2" t="str">
        <f t="shared" si="307"/>
        <v>Augsburg</v>
      </c>
      <c r="D325" s="3" t="s">
        <v>11</v>
      </c>
      <c r="E325" s="2" t="str">
        <f t="shared" si="321"/>
        <v>Heidenheim</v>
      </c>
      <c r="F325" s="29"/>
      <c r="G325" s="3" t="s">
        <v>12</v>
      </c>
      <c r="H325" s="30"/>
      <c r="I325" s="37"/>
      <c r="J325" s="38" t="str">
        <f t="shared" si="308"/>
        <v/>
      </c>
      <c r="K325" s="37"/>
      <c r="L325" s="38" t="str">
        <f t="shared" si="309"/>
        <v/>
      </c>
      <c r="M325" s="37"/>
      <c r="N325" s="38" t="str">
        <f t="shared" si="310"/>
        <v/>
      </c>
      <c r="O325" s="37"/>
      <c r="P325" s="38" t="str">
        <f t="shared" si="311"/>
        <v/>
      </c>
      <c r="Q325" s="37"/>
      <c r="R325" s="38" t="str">
        <f t="shared" si="312"/>
        <v/>
      </c>
      <c r="S325" s="37"/>
      <c r="T325" s="38" t="str">
        <f t="shared" si="313"/>
        <v/>
      </c>
      <c r="U325" s="33"/>
      <c r="V325" s="38" t="str">
        <f t="shared" si="314"/>
        <v/>
      </c>
      <c r="AF325" s="34"/>
      <c r="AG325" s="34"/>
      <c r="AH325" s="34"/>
      <c r="AI325" s="34"/>
      <c r="AJ325" s="34"/>
      <c r="DG325" s="8" t="str">
        <f t="shared" si="315"/>
        <v/>
      </c>
      <c r="DH325" s="3">
        <f t="shared" si="322"/>
        <v>7</v>
      </c>
      <c r="DN325" s="12">
        <f t="shared" si="316"/>
        <v>0</v>
      </c>
      <c r="DO325" s="5">
        <f t="shared" si="317"/>
        <v>0</v>
      </c>
      <c r="DP325" s="5" t="str">
        <f t="shared" si="318"/>
        <v/>
      </c>
      <c r="DQ325" s="5" t="str">
        <f t="shared" si="319"/>
        <v/>
      </c>
      <c r="DR325" s="5">
        <f t="shared" si="320"/>
        <v>0</v>
      </c>
    </row>
    <row r="326" spans="3:122" ht="11.25" customHeight="1" thickBot="1" x14ac:dyDescent="0.25">
      <c r="C326" s="2" t="str">
        <f t="shared" si="307"/>
        <v>Stuttgart</v>
      </c>
      <c r="D326" s="3" t="s">
        <v>11</v>
      </c>
      <c r="E326" s="2" t="str">
        <f t="shared" si="321"/>
        <v>Köln</v>
      </c>
      <c r="F326" s="29"/>
      <c r="G326" s="3" t="s">
        <v>12</v>
      </c>
      <c r="H326" s="30"/>
      <c r="I326" s="37"/>
      <c r="J326" s="38" t="str">
        <f t="shared" si="308"/>
        <v/>
      </c>
      <c r="K326" s="37"/>
      <c r="L326" s="38" t="str">
        <f t="shared" si="309"/>
        <v/>
      </c>
      <c r="M326" s="37"/>
      <c r="N326" s="38" t="str">
        <f t="shared" si="310"/>
        <v/>
      </c>
      <c r="O326" s="37"/>
      <c r="P326" s="38" t="str">
        <f t="shared" si="311"/>
        <v/>
      </c>
      <c r="Q326" s="37"/>
      <c r="R326" s="38" t="str">
        <f t="shared" si="312"/>
        <v/>
      </c>
      <c r="S326" s="37"/>
      <c r="T326" s="38" t="str">
        <f t="shared" si="313"/>
        <v/>
      </c>
      <c r="U326" s="33"/>
      <c r="V326" s="38" t="str">
        <f t="shared" si="314"/>
        <v/>
      </c>
      <c r="AF326" s="34"/>
      <c r="AG326" s="34"/>
      <c r="AH326" s="34"/>
      <c r="AI326" s="34"/>
      <c r="AJ326" s="34"/>
      <c r="DG326" s="8" t="str">
        <f t="shared" si="315"/>
        <v/>
      </c>
      <c r="DH326" s="3">
        <f t="shared" si="322"/>
        <v>7</v>
      </c>
      <c r="DN326" s="12">
        <f t="shared" si="316"/>
        <v>0</v>
      </c>
      <c r="DO326" s="5">
        <f t="shared" si="317"/>
        <v>0</v>
      </c>
      <c r="DP326" s="5" t="str">
        <f t="shared" si="318"/>
        <v/>
      </c>
      <c r="DQ326" s="5" t="str">
        <f t="shared" si="319"/>
        <v/>
      </c>
      <c r="DR326" s="5">
        <f t="shared" si="320"/>
        <v>0</v>
      </c>
    </row>
    <row r="327" spans="3:122" ht="11.25" customHeight="1" thickTop="1" x14ac:dyDescent="0.2">
      <c r="C327" s="41">
        <f>(I327+K327+M327+O327+Q327+S327+U327)</f>
        <v>0</v>
      </c>
      <c r="E327" s="42">
        <f>C327/8</f>
        <v>0</v>
      </c>
      <c r="F327" s="41">
        <f>SUM(F318:F326)</f>
        <v>0</v>
      </c>
      <c r="G327" s="2"/>
      <c r="H327" s="43">
        <f>SUM(H318:H326)</f>
        <v>0</v>
      </c>
      <c r="I327" s="44">
        <f>COUNTIF(J318:J326,"&gt;0")</f>
        <v>0</v>
      </c>
      <c r="J327" s="45">
        <f>I327+J312</f>
        <v>0</v>
      </c>
      <c r="K327" s="44">
        <f>COUNTIF(L318:L326,"&gt;0")</f>
        <v>0</v>
      </c>
      <c r="L327" s="45">
        <f>K327+L312</f>
        <v>0</v>
      </c>
      <c r="M327" s="44">
        <f>COUNTIF(N318:N326,"&gt;0")</f>
        <v>0</v>
      </c>
      <c r="N327" s="45">
        <f>M327+N312</f>
        <v>0</v>
      </c>
      <c r="O327" s="44">
        <f>COUNTIF(P318:P326,"&gt;0")</f>
        <v>0</v>
      </c>
      <c r="P327" s="45">
        <f>O327+P312</f>
        <v>0</v>
      </c>
      <c r="Q327" s="44">
        <f>COUNTIF(R318:R326,"&gt;0")</f>
        <v>0</v>
      </c>
      <c r="R327" s="45">
        <f>Q327+R312</f>
        <v>0</v>
      </c>
      <c r="S327" s="44">
        <f>COUNTIF(T318:T326,"&gt;0")</f>
        <v>0</v>
      </c>
      <c r="T327" s="45">
        <f>S327+T312</f>
        <v>0</v>
      </c>
      <c r="U327" s="44">
        <f>COUNTIF(V318:V326,"&gt;0")</f>
        <v>0</v>
      </c>
      <c r="V327" s="45">
        <f>U327+V312</f>
        <v>0</v>
      </c>
      <c r="AF327" s="34"/>
      <c r="AG327" s="34"/>
      <c r="AH327" s="34"/>
      <c r="AI327" s="34"/>
      <c r="AJ327" s="34"/>
      <c r="DN327" s="12"/>
    </row>
    <row r="328" spans="3:122" ht="11.25" customHeight="1" x14ac:dyDescent="0.2">
      <c r="C328" s="41">
        <f>(I328+K328+M328+O328+Q328+S328+U328)</f>
        <v>0</v>
      </c>
      <c r="E328" s="42">
        <f>C328/8</f>
        <v>0</v>
      </c>
      <c r="F328" s="137">
        <f>F327+H327</f>
        <v>0</v>
      </c>
      <c r="G328" s="137"/>
      <c r="H328" s="137"/>
      <c r="I328" s="46">
        <f>SUM(J318:J326)</f>
        <v>0</v>
      </c>
      <c r="J328" s="47">
        <f>I328+J313</f>
        <v>0</v>
      </c>
      <c r="K328" s="46">
        <f>SUM(L318:L326)</f>
        <v>0</v>
      </c>
      <c r="L328" s="47">
        <f>K328+L313</f>
        <v>0</v>
      </c>
      <c r="M328" s="46">
        <f>SUM(N318:N326)</f>
        <v>0</v>
      </c>
      <c r="N328" s="47">
        <f>M328+N313</f>
        <v>0</v>
      </c>
      <c r="O328" s="46">
        <f>SUM(P318:P326)</f>
        <v>0</v>
      </c>
      <c r="P328" s="47">
        <f>O328+P313</f>
        <v>0</v>
      </c>
      <c r="Q328" s="46">
        <f>SUM(R318:R326)</f>
        <v>0</v>
      </c>
      <c r="R328" s="47">
        <f>Q328+R313</f>
        <v>0</v>
      </c>
      <c r="S328" s="46">
        <f>SUM(T318:T326)</f>
        <v>0</v>
      </c>
      <c r="T328" s="47">
        <f>S328+T313</f>
        <v>0</v>
      </c>
      <c r="U328" s="46">
        <f>SUM(V318:V326)</f>
        <v>0</v>
      </c>
      <c r="V328" s="47">
        <f>U328+V313</f>
        <v>0</v>
      </c>
      <c r="AF328" s="34"/>
      <c r="AG328" s="34"/>
      <c r="AH328" s="34"/>
      <c r="AI328" s="34"/>
      <c r="AJ328" s="34"/>
      <c r="DN328" s="12"/>
    </row>
    <row r="329" spans="3:122" ht="11.25" customHeight="1" thickBot="1" x14ac:dyDescent="0.25">
      <c r="C329" s="41">
        <f>(I329+K329+M329+O329+Q329+S329+U329)</f>
        <v>0</v>
      </c>
      <c r="E329" s="42">
        <f>C329/8</f>
        <v>0</v>
      </c>
      <c r="F329" s="138">
        <f>F328+F314</f>
        <v>0</v>
      </c>
      <c r="G329" s="138"/>
      <c r="H329" s="138"/>
      <c r="I329" s="48">
        <f>I327*I328</f>
        <v>0</v>
      </c>
      <c r="J329" s="49">
        <f>I329+J314</f>
        <v>0</v>
      </c>
      <c r="K329" s="48">
        <f>K327*K328</f>
        <v>0</v>
      </c>
      <c r="L329" s="49">
        <f>K329+L314</f>
        <v>0</v>
      </c>
      <c r="M329" s="48">
        <f>M327*M328</f>
        <v>0</v>
      </c>
      <c r="N329" s="49">
        <f>M329+N314</f>
        <v>0</v>
      </c>
      <c r="O329" s="48">
        <f>O327*O328</f>
        <v>0</v>
      </c>
      <c r="P329" s="49">
        <f>O329+P314</f>
        <v>0</v>
      </c>
      <c r="Q329" s="48">
        <f>Q327*Q328</f>
        <v>0</v>
      </c>
      <c r="R329" s="49">
        <f>Q329+R314</f>
        <v>0</v>
      </c>
      <c r="S329" s="48">
        <f>S327*S328</f>
        <v>0</v>
      </c>
      <c r="T329" s="49">
        <f>S329+T314</f>
        <v>0</v>
      </c>
      <c r="U329" s="48">
        <f>U327*U328</f>
        <v>0</v>
      </c>
      <c r="V329" s="49">
        <f>U329+V314</f>
        <v>0</v>
      </c>
      <c r="AF329" s="34"/>
      <c r="AG329" s="34"/>
      <c r="AH329" s="34"/>
      <c r="AI329" s="34"/>
      <c r="AJ329" s="34"/>
      <c r="AL329" s="5">
        <f>MAX(I329,K329,M329,O329,Q329,S329,U329)</f>
        <v>0</v>
      </c>
      <c r="AM329" s="5">
        <f>MIN(I329,K329,M329,O329,Q329,S329,U329)</f>
        <v>0</v>
      </c>
      <c r="AN329" s="5"/>
      <c r="AO329" s="5"/>
      <c r="AP329" s="5"/>
      <c r="AQ329" s="5"/>
      <c r="AR329" s="5"/>
      <c r="AS329" s="13"/>
      <c r="AT329" s="5"/>
      <c r="AU329" s="5"/>
      <c r="AV329" s="5"/>
      <c r="AW329" s="5"/>
      <c r="AX329" s="5"/>
      <c r="AY329" s="5"/>
      <c r="AZ329" s="5"/>
      <c r="BA329" s="5"/>
      <c r="BB329" s="5"/>
      <c r="BD329" s="5"/>
      <c r="BE329" s="5"/>
      <c r="BF329" s="14"/>
      <c r="BG329" s="13"/>
      <c r="BH329" s="5"/>
      <c r="BI329" s="14"/>
      <c r="BJ329" s="13"/>
      <c r="BK329" s="5"/>
      <c r="BL329" s="14"/>
      <c r="BM329" s="13"/>
      <c r="BN329" s="5"/>
      <c r="BO329" s="14"/>
      <c r="BP329" s="13"/>
      <c r="BQ329" s="5"/>
      <c r="BR329" s="14"/>
      <c r="BS329" s="13"/>
      <c r="BT329" s="5"/>
      <c r="BU329" s="14"/>
      <c r="BV329" s="13"/>
      <c r="BW329" s="5"/>
      <c r="BX329" s="14"/>
      <c r="BY329" s="13"/>
      <c r="BZ329" s="5"/>
      <c r="CA329" s="14"/>
      <c r="CB329" s="13"/>
      <c r="CC329" s="5"/>
      <c r="CD329" s="14"/>
      <c r="CE329" s="13"/>
      <c r="CF329" s="5"/>
      <c r="CG329" s="14"/>
      <c r="CH329" s="13"/>
      <c r="CI329" s="5"/>
      <c r="CJ329" s="14"/>
      <c r="CK329" s="13"/>
      <c r="CL329" s="5"/>
      <c r="CM329" s="14"/>
      <c r="CN329" s="13"/>
      <c r="CO329" s="5"/>
      <c r="CP329" s="14"/>
      <c r="CQ329" s="13"/>
      <c r="CR329" s="5"/>
      <c r="CS329" s="14"/>
      <c r="CT329" s="13"/>
      <c r="CU329" s="5"/>
      <c r="CV329" s="14"/>
      <c r="CW329" s="13"/>
      <c r="CX329" s="5"/>
      <c r="CY329" s="14"/>
      <c r="CZ329" s="13"/>
      <c r="DA329" s="5"/>
      <c r="DB329" s="14"/>
      <c r="DC329" s="13"/>
      <c r="DD329" s="5"/>
      <c r="DE329" s="14"/>
      <c r="DF329" s="5"/>
      <c r="DG329" s="5"/>
      <c r="DH329" s="5"/>
      <c r="DN329" s="12"/>
    </row>
    <row r="330" spans="3:122" ht="11.25" customHeight="1" thickTop="1" x14ac:dyDescent="0.2">
      <c r="I330" s="50"/>
      <c r="J330" s="50">
        <f>L329-J329</f>
        <v>0</v>
      </c>
      <c r="K330" s="50"/>
      <c r="L330" s="50"/>
      <c r="M330" s="50"/>
      <c r="N330" s="50">
        <f>L329-N329</f>
        <v>0</v>
      </c>
      <c r="O330" s="50"/>
      <c r="P330" s="50">
        <f>L329-P329</f>
        <v>0</v>
      </c>
      <c r="Q330" s="50"/>
      <c r="R330" s="50">
        <f>L329-R329</f>
        <v>0</v>
      </c>
      <c r="S330" s="50"/>
      <c r="T330" s="50">
        <f>L329-T329</f>
        <v>0</v>
      </c>
      <c r="U330" s="50"/>
      <c r="V330" s="50">
        <f>L329-V329</f>
        <v>0</v>
      </c>
    </row>
    <row r="331" spans="3:122" ht="11.25" customHeight="1" x14ac:dyDescent="0.2">
      <c r="I331" s="139" t="str">
        <f>ß101</f>
        <v>Kropp</v>
      </c>
      <c r="J331" s="139"/>
      <c r="K331" s="139" t="str">
        <f>ß102</f>
        <v>Nörnberg</v>
      </c>
      <c r="L331" s="139"/>
      <c r="M331" s="139" t="str">
        <f>ß103</f>
        <v>Bübel</v>
      </c>
      <c r="N331" s="139"/>
      <c r="O331" s="139" t="str">
        <f>ß104</f>
        <v>Schwicht.</v>
      </c>
      <c r="P331" s="139"/>
      <c r="Q331" s="139" t="str">
        <f>ß105</f>
        <v>Rontzko.</v>
      </c>
      <c r="R331" s="139"/>
      <c r="S331" s="139" t="str">
        <f>ß106</f>
        <v>Hauschildt</v>
      </c>
      <c r="T331" s="139"/>
      <c r="U331" s="139" t="str">
        <f>ß107</f>
        <v>Zerres</v>
      </c>
      <c r="V331" s="139"/>
      <c r="AF331" s="11"/>
      <c r="AG331" s="11"/>
      <c r="AH331" s="11"/>
      <c r="AI331" s="11"/>
      <c r="AJ331" s="11"/>
      <c r="AL331" s="5" t="str">
        <f>IF($I344=$AL344,I331,"x")</f>
        <v>Kropp</v>
      </c>
      <c r="AM331" s="5" t="str">
        <f>IF($K344=$AL344,K331,"x")</f>
        <v>Nörnberg</v>
      </c>
      <c r="AN331" s="5" t="str">
        <f>IF($M344=$AL344,M331,"x")</f>
        <v>Bübel</v>
      </c>
      <c r="AO331" s="5" t="str">
        <f>IF($O344=$AL344,O331,"x")</f>
        <v>Schwicht.</v>
      </c>
      <c r="AP331" s="5" t="str">
        <f>IF($Q344=$AL344,Q331,"x")</f>
        <v>Rontzko.</v>
      </c>
      <c r="AQ331" s="5" t="str">
        <f>IF($S344=$AL344,S331,"x")</f>
        <v>Hauschildt</v>
      </c>
      <c r="AR331" s="5" t="str">
        <f>IF($U344=$AL344,U331,"x")</f>
        <v>Zerres</v>
      </c>
      <c r="AS331" s="13" t="str">
        <f>IF($I344=$AM344,I331,"x")</f>
        <v>Kropp</v>
      </c>
      <c r="AT331" s="5" t="str">
        <f>IF($K344=$AM344,K331,"x")</f>
        <v>Nörnberg</v>
      </c>
      <c r="AU331" s="5" t="str">
        <f>IF($M344=$AM344,M331,"x")</f>
        <v>Bübel</v>
      </c>
      <c r="AV331" s="5" t="str">
        <f>IF($O344=$AM344,O331,"x")</f>
        <v>Schwicht.</v>
      </c>
      <c r="AW331" s="5" t="str">
        <f>IF($Q344=$AM344,Q331,"x")</f>
        <v>Rontzko.</v>
      </c>
      <c r="AX331" s="5" t="str">
        <f>IF($S344=$AM344,S331,"x")</f>
        <v>Hauschildt</v>
      </c>
      <c r="AY331" s="5" t="str">
        <f>IF($U344=$AM344,U331,"x")</f>
        <v>Zerres</v>
      </c>
      <c r="BD331" s="140" t="str">
        <f>ß01</f>
        <v>Bayern</v>
      </c>
      <c r="BE331" s="140"/>
      <c r="BF331" s="140"/>
      <c r="BG331" s="141" t="str">
        <f>ß02</f>
        <v>Leipzig</v>
      </c>
      <c r="BH331" s="141"/>
      <c r="BI331" s="141"/>
      <c r="BJ331" s="141" t="str">
        <f>ß03</f>
        <v>Leverk.</v>
      </c>
      <c r="BK331" s="141"/>
      <c r="BL331" s="141"/>
      <c r="BM331" s="141" t="str">
        <f>ß04</f>
        <v>Hoffenheim</v>
      </c>
      <c r="BN331" s="141"/>
      <c r="BO331" s="141"/>
      <c r="BP331" s="141" t="str">
        <f>ß05</f>
        <v>Frankfurt</v>
      </c>
      <c r="BQ331" s="141"/>
      <c r="BR331" s="141"/>
      <c r="BS331" s="141" t="str">
        <f>ß06</f>
        <v>Werder</v>
      </c>
      <c r="BT331" s="141"/>
      <c r="BU331" s="141"/>
      <c r="BV331" s="141" t="str">
        <f>ß07</f>
        <v>Freiburg</v>
      </c>
      <c r="BW331" s="141"/>
      <c r="BX331" s="141"/>
      <c r="BY331" s="141" t="str">
        <f>ß08</f>
        <v>Augsburg</v>
      </c>
      <c r="BZ331" s="141"/>
      <c r="CA331" s="141"/>
      <c r="CB331" s="141" t="str">
        <f>ß09</f>
        <v>Mainz</v>
      </c>
      <c r="CC331" s="141"/>
      <c r="CD331" s="141"/>
      <c r="CE331" s="141" t="str">
        <f>ß10</f>
        <v>Köln</v>
      </c>
      <c r="CF331" s="141"/>
      <c r="CG331" s="141"/>
      <c r="CH331" s="141" t="str">
        <f>ß11</f>
        <v>M'gladb.</v>
      </c>
      <c r="CI331" s="141"/>
      <c r="CJ331" s="141"/>
      <c r="CK331" s="141" t="str">
        <f>ß12</f>
        <v>HSV</v>
      </c>
      <c r="CL331" s="141"/>
      <c r="CM331" s="141"/>
      <c r="CN331" s="141" t="str">
        <f>ß13</f>
        <v>Union</v>
      </c>
      <c r="CO331" s="141"/>
      <c r="CP331" s="141"/>
      <c r="CQ331" s="141" t="str">
        <f>ß14</f>
        <v>Stuttgart</v>
      </c>
      <c r="CR331" s="141"/>
      <c r="CS331" s="141"/>
      <c r="CT331" s="141" t="str">
        <f>ß15</f>
        <v>St. Pauli</v>
      </c>
      <c r="CU331" s="141"/>
      <c r="CV331" s="141"/>
      <c r="CW331" s="141" t="str">
        <f>ß16</f>
        <v>Dortmund</v>
      </c>
      <c r="CX331" s="141"/>
      <c r="CY331" s="141"/>
      <c r="CZ331" s="141" t="str">
        <f>ß17</f>
        <v>Heidenheim</v>
      </c>
      <c r="DA331" s="141"/>
      <c r="DB331" s="141"/>
      <c r="DC331" s="141" t="str">
        <f>ß18</f>
        <v>Wolfsburg</v>
      </c>
      <c r="DD331" s="141"/>
      <c r="DE331" s="141"/>
      <c r="DN331" s="12"/>
    </row>
    <row r="332" spans="3:122" ht="11.25" customHeight="1" x14ac:dyDescent="0.2">
      <c r="C332" s="16" t="str">
        <f>Mannschaften!F23</f>
        <v>23. Spieltag</v>
      </c>
      <c r="D332" s="11"/>
      <c r="E332" s="17" t="str">
        <f>Mannschaften!G23</f>
        <v>20.-22.2.26</v>
      </c>
      <c r="I332" s="19">
        <f>RANK(Rang!A23,Rang!A23:G23)</f>
        <v>1</v>
      </c>
      <c r="J332" s="20">
        <f>RANK(Rang!H23,Rang!H23:N23)</f>
        <v>1</v>
      </c>
      <c r="K332" s="19">
        <f>RANK(Rang!B23,Rang!A23:G23)</f>
        <v>1</v>
      </c>
      <c r="L332" s="20">
        <f>RANK(Rang!I23,Rang!H23:N23)</f>
        <v>1</v>
      </c>
      <c r="M332" s="19">
        <f>RANK(Rang!C23,Rang!A23:G23)</f>
        <v>1</v>
      </c>
      <c r="N332" s="20">
        <f>RANK(Rang!J23,Rang!H23:N23)</f>
        <v>1</v>
      </c>
      <c r="O332" s="19">
        <f>RANK(Rang!D23,Rang!A23:G23)</f>
        <v>1</v>
      </c>
      <c r="P332" s="20">
        <f>RANK(Rang!K23,Rang!H23:N23)</f>
        <v>1</v>
      </c>
      <c r="Q332" s="19">
        <f>RANK(Rang!E23,Rang!A23:G23)</f>
        <v>1</v>
      </c>
      <c r="R332" s="20">
        <f>RANK(Rang!L23,Rang!H23:N23)</f>
        <v>1</v>
      </c>
      <c r="S332" s="19">
        <f>RANK(Rang!F23,Rang!A23:G23)</f>
        <v>1</v>
      </c>
      <c r="T332" s="20">
        <f>RANK(Rang!M23,Rang!H23:N23)</f>
        <v>1</v>
      </c>
      <c r="U332" s="19">
        <f>RANK(Rang!G23,Rang!A23:G23)</f>
        <v>1</v>
      </c>
      <c r="V332" s="20">
        <f>RANK(Rang!N23,Rang!H23:N23)</f>
        <v>1</v>
      </c>
      <c r="AF332" s="22"/>
      <c r="AG332" s="22"/>
      <c r="AH332" s="22"/>
      <c r="AI332" s="22"/>
      <c r="AJ332" s="22"/>
      <c r="AK332" s="21"/>
      <c r="AL332" s="21"/>
      <c r="AM332" s="21"/>
      <c r="AN332" s="21"/>
      <c r="AO332" s="21"/>
      <c r="AP332" s="21"/>
      <c r="AQ332" s="21"/>
      <c r="AR332" s="21"/>
      <c r="AS332" s="24"/>
      <c r="AT332" s="21"/>
      <c r="AU332" s="21"/>
      <c r="AV332" s="21"/>
      <c r="AW332" s="21"/>
      <c r="AX332" s="21"/>
      <c r="AY332" s="21"/>
      <c r="AZ332" s="21"/>
      <c r="BA332" s="21"/>
      <c r="BB332" s="21"/>
      <c r="BD332" s="25" t="s">
        <v>4</v>
      </c>
      <c r="BE332" s="25" t="s">
        <v>5</v>
      </c>
      <c r="BF332" s="26" t="s">
        <v>6</v>
      </c>
      <c r="BG332" s="27" t="s">
        <v>4</v>
      </c>
      <c r="BH332" s="25" t="s">
        <v>5</v>
      </c>
      <c r="BI332" s="26" t="s">
        <v>6</v>
      </c>
      <c r="BJ332" s="27" t="s">
        <v>4</v>
      </c>
      <c r="BK332" s="25" t="s">
        <v>5</v>
      </c>
      <c r="BL332" s="26" t="s">
        <v>6</v>
      </c>
      <c r="BM332" s="27" t="s">
        <v>4</v>
      </c>
      <c r="BN332" s="25" t="s">
        <v>5</v>
      </c>
      <c r="BO332" s="26" t="s">
        <v>6</v>
      </c>
      <c r="BP332" s="27" t="s">
        <v>4</v>
      </c>
      <c r="BQ332" s="25" t="s">
        <v>5</v>
      </c>
      <c r="BR332" s="26" t="s">
        <v>6</v>
      </c>
      <c r="BS332" s="27" t="s">
        <v>4</v>
      </c>
      <c r="BT332" s="25" t="s">
        <v>5</v>
      </c>
      <c r="BU332" s="26" t="s">
        <v>6</v>
      </c>
      <c r="BV332" s="27" t="s">
        <v>4</v>
      </c>
      <c r="BW332" s="25" t="s">
        <v>5</v>
      </c>
      <c r="BX332" s="26" t="s">
        <v>6</v>
      </c>
      <c r="BY332" s="27" t="s">
        <v>4</v>
      </c>
      <c r="BZ332" s="25" t="s">
        <v>5</v>
      </c>
      <c r="CA332" s="26" t="s">
        <v>6</v>
      </c>
      <c r="CB332" s="27" t="s">
        <v>4</v>
      </c>
      <c r="CC332" s="25" t="s">
        <v>5</v>
      </c>
      <c r="CD332" s="26" t="s">
        <v>6</v>
      </c>
      <c r="CE332" s="27" t="s">
        <v>4</v>
      </c>
      <c r="CF332" s="25" t="s">
        <v>5</v>
      </c>
      <c r="CG332" s="26" t="s">
        <v>6</v>
      </c>
      <c r="CH332" s="27" t="s">
        <v>4</v>
      </c>
      <c r="CI332" s="25" t="s">
        <v>5</v>
      </c>
      <c r="CJ332" s="26" t="s">
        <v>6</v>
      </c>
      <c r="CK332" s="27" t="s">
        <v>4</v>
      </c>
      <c r="CL332" s="25" t="s">
        <v>5</v>
      </c>
      <c r="CM332" s="26" t="s">
        <v>6</v>
      </c>
      <c r="CN332" s="27" t="s">
        <v>4</v>
      </c>
      <c r="CO332" s="25" t="s">
        <v>5</v>
      </c>
      <c r="CP332" s="26" t="s">
        <v>6</v>
      </c>
      <c r="CQ332" s="27" t="s">
        <v>4</v>
      </c>
      <c r="CR332" s="25" t="s">
        <v>5</v>
      </c>
      <c r="CS332" s="26" t="s">
        <v>6</v>
      </c>
      <c r="CT332" s="27" t="s">
        <v>4</v>
      </c>
      <c r="CU332" s="25" t="s">
        <v>5</v>
      </c>
      <c r="CV332" s="26" t="s">
        <v>6</v>
      </c>
      <c r="CW332" s="27" t="s">
        <v>4</v>
      </c>
      <c r="CX332" s="25" t="s">
        <v>5</v>
      </c>
      <c r="CY332" s="26" t="s">
        <v>6</v>
      </c>
      <c r="CZ332" s="27" t="s">
        <v>4</v>
      </c>
      <c r="DA332" s="25" t="s">
        <v>5</v>
      </c>
      <c r="DB332" s="26" t="s">
        <v>6</v>
      </c>
      <c r="DC332" s="27" t="s">
        <v>4</v>
      </c>
      <c r="DD332" s="25" t="s">
        <v>5</v>
      </c>
      <c r="DE332" s="26" t="s">
        <v>6</v>
      </c>
      <c r="DF332" s="21"/>
      <c r="DG332" s="21"/>
      <c r="DH332" s="21"/>
      <c r="DN332" s="136" t="s">
        <v>7</v>
      </c>
      <c r="DO332" s="136"/>
      <c r="DP332" s="136" t="s">
        <v>8</v>
      </c>
      <c r="DQ332" s="136"/>
      <c r="DR332" s="28"/>
    </row>
    <row r="333" spans="3:122" ht="11.25" customHeight="1" x14ac:dyDescent="0.2">
      <c r="C333" s="2" t="str">
        <f t="shared" ref="C333:C341" si="323">E78</f>
        <v>Union</v>
      </c>
      <c r="D333" s="3" t="s">
        <v>11</v>
      </c>
      <c r="E333" s="2" t="str">
        <f t="shared" ref="E333:E341" si="324">C78</f>
        <v>Leverk.</v>
      </c>
      <c r="F333" s="29"/>
      <c r="G333" s="3" t="s">
        <v>12</v>
      </c>
      <c r="H333" s="30"/>
      <c r="I333" s="31"/>
      <c r="J333" s="32" t="str">
        <f t="shared" ref="J333:J341" si="325">IF($F333="","",(IF(I333="","",IF(I333=$DG333,(VLOOKUP($DH333,$DJ$3:$DK$11,2,FALSE())),0))))</f>
        <v/>
      </c>
      <c r="K333" s="31"/>
      <c r="L333" s="32" t="str">
        <f t="shared" ref="L333:L341" si="326">IF($F333="","",(IF(K333="","",IF(K333=$DG333,(VLOOKUP($DH333,$DJ$3:$DK$11,2,FALSE())),0))))</f>
        <v/>
      </c>
      <c r="M333" s="31"/>
      <c r="N333" s="32" t="str">
        <f t="shared" ref="N333:N341" si="327">IF($F333="","",(IF(M333="","",IF(M333=$DG333,(VLOOKUP($DH333,$DJ$3:$DK$11,2,FALSE())),0))))</f>
        <v/>
      </c>
      <c r="O333" s="31"/>
      <c r="P333" s="32" t="str">
        <f t="shared" ref="P333:P341" si="328">IF($F333="","",(IF(O333="","",IF(O333=$DG333,(VLOOKUP($DH333,$DJ$3:$DK$11,2,FALSE())),0))))</f>
        <v/>
      </c>
      <c r="Q333" s="31"/>
      <c r="R333" s="32" t="str">
        <f t="shared" ref="R333:R341" si="329">IF($F333="","",(IF(Q333="","",IF(Q333=$DG333,(VLOOKUP($DH333,$DJ$3:$DK$11,2,FALSE())),0))))</f>
        <v/>
      </c>
      <c r="S333" s="31"/>
      <c r="T333" s="32" t="str">
        <f t="shared" ref="T333:T341" si="330">IF($F333="","",(IF(S333="","",IF(S333=$DG333,(VLOOKUP($DH333,$DJ$3:$DK$11,2,FALSE())),0))))</f>
        <v/>
      </c>
      <c r="U333" s="31"/>
      <c r="V333" s="32" t="str">
        <f t="shared" ref="V333:V341" si="331">IF($F333="","",(IF(U333="","",IF(U333=$DG333,(VLOOKUP($DH333,$DJ$3:$DK$11,2,FALSE())),0))))</f>
        <v/>
      </c>
      <c r="AF333" s="34"/>
      <c r="AG333" s="34"/>
      <c r="AH333" s="34"/>
      <c r="AI333" s="34"/>
      <c r="AJ333" s="34"/>
      <c r="AN333" s="5"/>
      <c r="AO333" s="5"/>
      <c r="AP333" s="5"/>
      <c r="AQ333" s="5"/>
      <c r="AR333" s="5"/>
      <c r="AS333" s="13"/>
      <c r="AT333" s="5"/>
      <c r="AU333" s="5"/>
      <c r="AV333" s="5"/>
      <c r="AW333" s="5"/>
      <c r="AX333" s="5"/>
      <c r="AY333" s="5"/>
      <c r="BC333" s="6">
        <v>332</v>
      </c>
      <c r="BD333" s="35">
        <f>IF(ISERROR(MATCH(ß01,$C333:$C341,0)),"",MATCH(ß01,$C333:$C341,0))</f>
        <v>2</v>
      </c>
      <c r="BE333" s="35" t="str">
        <f>IF(ISERROR(MATCH(ß01,$E333:$E341,0)),"",MATCH(ß01,$E333:$E341,0))</f>
        <v/>
      </c>
      <c r="BF333" s="15">
        <f>SUM(BD333:BE333)+BC333</f>
        <v>334</v>
      </c>
      <c r="BG333" s="36">
        <f>IF(ISERROR(MATCH(ß02,$C333:$C341,0)),"",MATCH(ß02,$C333:$C341,0))</f>
        <v>3</v>
      </c>
      <c r="BH333" s="35" t="str">
        <f>IF(ISERROR(MATCH(ß02,$E333:$E341,0)),"",MATCH(ß02,$E333:$E341,0))</f>
        <v/>
      </c>
      <c r="BI333" s="15">
        <f>SUM(BG333:BH333)+BC333</f>
        <v>335</v>
      </c>
      <c r="BJ333" s="36" t="str">
        <f>IF(ISERROR(MATCH(ß03,$C333:$C341,0)),"",MATCH(ß03,$C333:$C341,0))</f>
        <v/>
      </c>
      <c r="BK333" s="35">
        <f>IF(ISERROR(MATCH(ß03,$E333:$E341,0)),"",MATCH(ß03,$E333:$E341,0))</f>
        <v>1</v>
      </c>
      <c r="BL333" s="15">
        <f>SUM(BJ333:BK333)+BC333</f>
        <v>333</v>
      </c>
      <c r="BM333" s="36" t="str">
        <f>IF(ISERROR(MATCH(ß04,$C333:$C341,0)),"",MATCH(ß04,$C333:$C341,0))</f>
        <v/>
      </c>
      <c r="BN333" s="35">
        <f>IF(ISERROR(MATCH(ß04,$E333:$E341,0)),"",MATCH(ß04,$E333:$E341,0))</f>
        <v>8</v>
      </c>
      <c r="BO333" s="15">
        <f>SUM(BM333:BN333)+BC333</f>
        <v>340</v>
      </c>
      <c r="BP333" s="36" t="str">
        <f>IF(ISERROR(MATCH(ß05,$C333:$C341,0)),"",MATCH(ß05,$C333:$C341,0))</f>
        <v/>
      </c>
      <c r="BQ333" s="35">
        <f>IF(ISERROR(MATCH(ß05,$E333:$E341,0)),"",MATCH(ß05,$E333:$E341,0))</f>
        <v>2</v>
      </c>
      <c r="BR333" s="15">
        <f>SUM(BP333:BQ333)+BC333</f>
        <v>334</v>
      </c>
      <c r="BS333" s="36" t="str">
        <f>IF(ISERROR(MATCH(ß06,$C333:$C341,0)),"",MATCH(ß06,$C333:$C341,0))</f>
        <v/>
      </c>
      <c r="BT333" s="35">
        <f>IF(ISERROR(MATCH(ß06,$E333:$E341,0)),"",MATCH(ß06,$E333:$E341,0))</f>
        <v>4</v>
      </c>
      <c r="BU333" s="15">
        <f>SUM(BS333:BT333)+BC333</f>
        <v>336</v>
      </c>
      <c r="BV333" s="36">
        <f>IF(ISERROR(MATCH(ß07,$C333:$C341,0)),"",MATCH(ß07,$C333:$C341,0))</f>
        <v>6</v>
      </c>
      <c r="BW333" s="35" t="str">
        <f>IF(ISERROR(MATCH(ß07,$E333:$E341,0)),"",MATCH(ß07,$E333:$E341,0))</f>
        <v/>
      </c>
      <c r="BX333" s="15">
        <f>SUM(BV333:BW333)+BC333</f>
        <v>338</v>
      </c>
      <c r="BY333" s="36" t="str">
        <f>IF(ISERROR(MATCH(ß08,$C333:$C341,0)),"",MATCH(ß08,$C333:$C341,0))</f>
        <v/>
      </c>
      <c r="BZ333" s="35">
        <f>IF(ISERROR(MATCH(ß08,$E333:$E341,0)),"",MATCH(ß08,$E333:$E341,0))</f>
        <v>7</v>
      </c>
      <c r="CA333" s="15">
        <f>SUM(BY333:BZ333)+BC333</f>
        <v>339</v>
      </c>
      <c r="CB333" s="36">
        <f>IF(ISERROR(MATCH(ß09,$C333:$C341,0)),"",MATCH(ß09,$C333:$C341,0))</f>
        <v>9</v>
      </c>
      <c r="CC333" s="35" t="str">
        <f>IF(ISERROR(MATCH(ß09,$E333:$E341,0)),"",MATCH(ß09,$E333:$E341,0))</f>
        <v/>
      </c>
      <c r="CD333" s="15">
        <f>SUM(CB333:CC333)+BC333</f>
        <v>341</v>
      </c>
      <c r="CE333" s="36">
        <f>IF(ISERROR(MATCH(ß10,$C333:$C341,0)),"",MATCH(ß10,$C333:$C341,0))</f>
        <v>8</v>
      </c>
      <c r="CF333" s="35" t="str">
        <f>IF(ISERROR(MATCH(ß10,$E333:$E341,0)),"",MATCH(ß10,$E333:$E341,0))</f>
        <v/>
      </c>
      <c r="CG333" s="15">
        <f>SUM(CE333:CF333)+BC333</f>
        <v>340</v>
      </c>
      <c r="CH333" s="36" t="str">
        <f>IF(ISERROR(MATCH(ß11,$C333:$C341,0)),"",MATCH(ß11,$C333:$C341,0))</f>
        <v/>
      </c>
      <c r="CI333" s="35">
        <f>IF(ISERROR(MATCH(ß11,$E333:$E341,0)),"",MATCH(ß11,$E333:$E341,0))</f>
        <v>6</v>
      </c>
      <c r="CJ333" s="15">
        <f>SUM(CH333:CI333)+BC333</f>
        <v>338</v>
      </c>
      <c r="CK333" s="36" t="str">
        <f>IF(ISERROR(MATCH(ß12,$C333:$C341,0)),"",MATCH(ß12,$C333:$C341,0))</f>
        <v/>
      </c>
      <c r="CL333" s="35">
        <f>IF(ISERROR(MATCH(ß12,$E333:$E341,0)),"",MATCH(ß12,$E333:$E341,0))</f>
        <v>9</v>
      </c>
      <c r="CM333" s="15">
        <f>SUM(CK333:CL333)+BC333</f>
        <v>341</v>
      </c>
      <c r="CN333" s="36">
        <f>IF(ISERROR(MATCH(ß13,$C333:$C341,0)),"",MATCH(ß13,$C333:$C341,0))</f>
        <v>1</v>
      </c>
      <c r="CO333" s="35" t="str">
        <f>IF(ISERROR(MATCH(ß13,$E333:$E341,0)),"",MATCH(ß13,$E333:$E341,0))</f>
        <v/>
      </c>
      <c r="CP333" s="15">
        <f>SUM(CN333:CO333)+BC333</f>
        <v>333</v>
      </c>
      <c r="CQ333" s="36" t="str">
        <f>IF(ISERROR(MATCH(ß14,$C333:$C341,0)),"",MATCH(ß14,$C333:$C341,0))</f>
        <v/>
      </c>
      <c r="CR333" s="35">
        <f>IF(ISERROR(MATCH(ß14,$E333:$E341,0)),"",MATCH(ß14,$E333:$E341,0))</f>
        <v>5</v>
      </c>
      <c r="CS333" s="15">
        <f>SUM(CQ333:CR333)+BC333</f>
        <v>337</v>
      </c>
      <c r="CT333" s="36">
        <f>IF(ISERROR(MATCH(ß15,$C333:$C341,0)),"",MATCH(ß15,$C333:$C341,0))</f>
        <v>4</v>
      </c>
      <c r="CU333" s="35" t="str">
        <f>IF(ISERROR(MATCH(ß15,$E333:$E341,0)),"",MATCH(ß15,$E333:$E341,0))</f>
        <v/>
      </c>
      <c r="CV333" s="15">
        <f>SUM(CT333:CU333)+BC333</f>
        <v>336</v>
      </c>
      <c r="CW333" s="36" t="str">
        <f>IF(ISERROR(MATCH(ß16,$C333:$C341,0)),"",MATCH(ß16,$C333:$C341,0))</f>
        <v/>
      </c>
      <c r="CX333" s="35">
        <f>IF(ISERROR(MATCH(ß16,$E333:$E341,0)),"",MATCH(ß16,$E333:$E341,0))</f>
        <v>3</v>
      </c>
      <c r="CY333" s="15">
        <f>SUM(CW333:CX333)+BC333</f>
        <v>335</v>
      </c>
      <c r="CZ333" s="36">
        <f>IF(ISERROR(MATCH(ß17,$C333:$C341,0)),"",MATCH(ß17,$C333:$C341,0))</f>
        <v>5</v>
      </c>
      <c r="DA333" s="35" t="str">
        <f>IF(ISERROR(MATCH(ß17,$E333:$E341,0)),"",MATCH(ß17,$E333:$E341,0))</f>
        <v/>
      </c>
      <c r="DB333" s="15">
        <f>SUM(CZ333:DA333)+BC333</f>
        <v>337</v>
      </c>
      <c r="DC333" s="36">
        <f>IF(ISERROR(MATCH(ß18,$C333:$C341,0)),"",MATCH(ß18,$C333:$C341,0))</f>
        <v>7</v>
      </c>
      <c r="DD333" s="35" t="str">
        <f>IF(ISERROR(MATCH(ß18,$E333:$E341,0)),"",MATCH(ß18,$E333:$E341,0))</f>
        <v/>
      </c>
      <c r="DE333" s="15">
        <f>SUM(DC333:DD333)+BC333</f>
        <v>339</v>
      </c>
      <c r="DG333" s="8" t="str">
        <f t="shared" ref="DG333:DG341" si="332">IF(F333="","",(IF(F333=H333,0,IF(F333&gt;H333,1,IF(F333&lt;H333,2)))))</f>
        <v/>
      </c>
      <c r="DH333" s="3">
        <f>COUNTIF(I333,DG333)+COUNTIF(K333,DG333)+COUNTIF(M333,DG333)+COUNTIF(O333,DG333)+COUNTIF(Q333,DG333)+COUNTIF(S333,DG333)+COUNTIF(U333,DG333)</f>
        <v>7</v>
      </c>
      <c r="DN333" s="12">
        <f t="shared" ref="DN333:DN341" si="333">F333</f>
        <v>0</v>
      </c>
      <c r="DO333" s="5">
        <f t="shared" ref="DO333:DO341" si="334">H333</f>
        <v>0</v>
      </c>
      <c r="DP333" s="5" t="str">
        <f t="shared" ref="DP333:DP341" si="335">IF($F333="","",IF(DN333&gt;DO333,3,IF(DN333&lt;DO333,0,1)))</f>
        <v/>
      </c>
      <c r="DQ333" s="5" t="str">
        <f t="shared" ref="DQ333:DQ341" si="336">IF($H333="","",IF(DO333&gt;DN333,3,IF(DO333&lt;DN333,0,1)))</f>
        <v/>
      </c>
      <c r="DR333" s="5">
        <f t="shared" ref="DR333:DR341" si="337">IF(ISBLANK(F333),0,1)</f>
        <v>0</v>
      </c>
    </row>
    <row r="334" spans="3:122" ht="11.25" customHeight="1" x14ac:dyDescent="0.2">
      <c r="C334" s="2" t="str">
        <f t="shared" si="323"/>
        <v>Bayern</v>
      </c>
      <c r="D334" s="3" t="s">
        <v>11</v>
      </c>
      <c r="E334" s="2" t="str">
        <f t="shared" si="324"/>
        <v>Frankfurt</v>
      </c>
      <c r="F334" s="29"/>
      <c r="G334" s="3" t="s">
        <v>12</v>
      </c>
      <c r="H334" s="30"/>
      <c r="I334" s="37"/>
      <c r="J334" s="38" t="str">
        <f t="shared" si="325"/>
        <v/>
      </c>
      <c r="K334" s="37"/>
      <c r="L334" s="38" t="str">
        <f t="shared" si="326"/>
        <v/>
      </c>
      <c r="M334" s="37"/>
      <c r="N334" s="38" t="str">
        <f t="shared" si="327"/>
        <v/>
      </c>
      <c r="O334" s="37"/>
      <c r="P334" s="38" t="str">
        <f t="shared" si="328"/>
        <v/>
      </c>
      <c r="Q334" s="37"/>
      <c r="R334" s="38" t="str">
        <f t="shared" si="329"/>
        <v/>
      </c>
      <c r="S334" s="37"/>
      <c r="T334" s="38" t="str">
        <f t="shared" si="330"/>
        <v/>
      </c>
      <c r="U334" s="37"/>
      <c r="V334" s="38" t="str">
        <f t="shared" si="331"/>
        <v/>
      </c>
      <c r="AF334" s="34"/>
      <c r="AG334" s="34"/>
      <c r="AH334" s="34"/>
      <c r="AI334" s="34"/>
      <c r="AJ334" s="34"/>
      <c r="DG334" s="8" t="str">
        <f t="shared" si="332"/>
        <v/>
      </c>
      <c r="DH334" s="3">
        <f t="shared" ref="DH334:DH341" si="338">COUNTIF(I334,DG334)+COUNTIF(K334,DG334)+COUNTIF(M334,DG334)+COUNTIF(O334,DG334)+COUNTIF(Q334,DG334)+COUNTIF(S334,DG334)+COUNTIF(U334,DG334)</f>
        <v>7</v>
      </c>
      <c r="DN334" s="12">
        <f t="shared" si="333"/>
        <v>0</v>
      </c>
      <c r="DO334" s="5">
        <f t="shared" si="334"/>
        <v>0</v>
      </c>
      <c r="DP334" s="5" t="str">
        <f t="shared" si="335"/>
        <v/>
      </c>
      <c r="DQ334" s="5" t="str">
        <f t="shared" si="336"/>
        <v/>
      </c>
      <c r="DR334" s="5">
        <f t="shared" si="337"/>
        <v>0</v>
      </c>
    </row>
    <row r="335" spans="3:122" ht="11.25" customHeight="1" x14ac:dyDescent="0.2">
      <c r="C335" s="2" t="str">
        <f t="shared" si="323"/>
        <v>Leipzig</v>
      </c>
      <c r="D335" s="3" t="s">
        <v>11</v>
      </c>
      <c r="E335" s="2" t="str">
        <f t="shared" si="324"/>
        <v>Dortmund</v>
      </c>
      <c r="F335" s="29"/>
      <c r="G335" s="3" t="s">
        <v>12</v>
      </c>
      <c r="H335" s="30"/>
      <c r="I335" s="37"/>
      <c r="J335" s="38" t="str">
        <f t="shared" si="325"/>
        <v/>
      </c>
      <c r="K335" s="37"/>
      <c r="L335" s="38" t="str">
        <f t="shared" si="326"/>
        <v/>
      </c>
      <c r="M335" s="37"/>
      <c r="N335" s="38" t="str">
        <f t="shared" si="327"/>
        <v/>
      </c>
      <c r="O335" s="37"/>
      <c r="P335" s="38" t="str">
        <f t="shared" si="328"/>
        <v/>
      </c>
      <c r="Q335" s="37"/>
      <c r="R335" s="38" t="str">
        <f t="shared" si="329"/>
        <v/>
      </c>
      <c r="S335" s="37"/>
      <c r="T335" s="38" t="str">
        <f t="shared" si="330"/>
        <v/>
      </c>
      <c r="U335" s="37"/>
      <c r="V335" s="38" t="str">
        <f t="shared" si="331"/>
        <v/>
      </c>
      <c r="AF335" s="34"/>
      <c r="AG335" s="34"/>
      <c r="AH335" s="34"/>
      <c r="AI335" s="34"/>
      <c r="AJ335" s="34"/>
      <c r="DG335" s="8" t="str">
        <f t="shared" si="332"/>
        <v/>
      </c>
      <c r="DH335" s="3">
        <f t="shared" si="338"/>
        <v>7</v>
      </c>
      <c r="DN335" s="12">
        <f t="shared" si="333"/>
        <v>0</v>
      </c>
      <c r="DO335" s="5">
        <f t="shared" si="334"/>
        <v>0</v>
      </c>
      <c r="DP335" s="5" t="str">
        <f t="shared" si="335"/>
        <v/>
      </c>
      <c r="DQ335" s="5" t="str">
        <f t="shared" si="336"/>
        <v/>
      </c>
      <c r="DR335" s="5">
        <f t="shared" si="337"/>
        <v>0</v>
      </c>
    </row>
    <row r="336" spans="3:122" ht="11.25" customHeight="1" x14ac:dyDescent="0.2">
      <c r="C336" s="2" t="str">
        <f t="shared" si="323"/>
        <v>St. Pauli</v>
      </c>
      <c r="D336" s="3" t="s">
        <v>11</v>
      </c>
      <c r="E336" s="2" t="str">
        <f t="shared" si="324"/>
        <v>Werder</v>
      </c>
      <c r="F336" s="29"/>
      <c r="G336" s="3" t="s">
        <v>12</v>
      </c>
      <c r="H336" s="30"/>
      <c r="I336" s="37"/>
      <c r="J336" s="38" t="str">
        <f t="shared" si="325"/>
        <v/>
      </c>
      <c r="K336" s="37"/>
      <c r="L336" s="38" t="str">
        <f t="shared" si="326"/>
        <v/>
      </c>
      <c r="M336" s="37"/>
      <c r="N336" s="38" t="str">
        <f t="shared" si="327"/>
        <v/>
      </c>
      <c r="O336" s="37"/>
      <c r="P336" s="38" t="str">
        <f t="shared" si="328"/>
        <v/>
      </c>
      <c r="Q336" s="37"/>
      <c r="R336" s="38" t="str">
        <f t="shared" si="329"/>
        <v/>
      </c>
      <c r="S336" s="37"/>
      <c r="T336" s="38" t="str">
        <f t="shared" si="330"/>
        <v/>
      </c>
      <c r="U336" s="37"/>
      <c r="V336" s="38" t="str">
        <f t="shared" si="331"/>
        <v/>
      </c>
      <c r="AF336" s="34"/>
      <c r="AG336" s="34"/>
      <c r="AH336" s="34"/>
      <c r="AI336" s="34"/>
      <c r="AJ336" s="34"/>
      <c r="DG336" s="8" t="str">
        <f t="shared" si="332"/>
        <v/>
      </c>
      <c r="DH336" s="3">
        <f t="shared" si="338"/>
        <v>7</v>
      </c>
      <c r="DN336" s="12">
        <f t="shared" si="333"/>
        <v>0</v>
      </c>
      <c r="DO336" s="5">
        <f t="shared" si="334"/>
        <v>0</v>
      </c>
      <c r="DP336" s="5" t="str">
        <f t="shared" si="335"/>
        <v/>
      </c>
      <c r="DQ336" s="5" t="str">
        <f t="shared" si="336"/>
        <v/>
      </c>
      <c r="DR336" s="5">
        <f t="shared" si="337"/>
        <v>0</v>
      </c>
    </row>
    <row r="337" spans="3:122" ht="11.25" customHeight="1" x14ac:dyDescent="0.2">
      <c r="C337" s="2" t="str">
        <f t="shared" si="323"/>
        <v>Heidenheim</v>
      </c>
      <c r="D337" s="3" t="s">
        <v>11</v>
      </c>
      <c r="E337" s="2" t="str">
        <f t="shared" si="324"/>
        <v>Stuttgart</v>
      </c>
      <c r="F337" s="29"/>
      <c r="G337" s="3" t="s">
        <v>12</v>
      </c>
      <c r="H337" s="30"/>
      <c r="I337" s="37"/>
      <c r="J337" s="38" t="str">
        <f t="shared" si="325"/>
        <v/>
      </c>
      <c r="K337" s="37"/>
      <c r="L337" s="38" t="str">
        <f t="shared" si="326"/>
        <v/>
      </c>
      <c r="M337" s="37"/>
      <c r="N337" s="38" t="str">
        <f t="shared" si="327"/>
        <v/>
      </c>
      <c r="O337" s="37"/>
      <c r="P337" s="38" t="str">
        <f t="shared" si="328"/>
        <v/>
      </c>
      <c r="Q337" s="37"/>
      <c r="R337" s="38" t="str">
        <f t="shared" si="329"/>
        <v/>
      </c>
      <c r="S337" s="37"/>
      <c r="T337" s="38" t="str">
        <f t="shared" si="330"/>
        <v/>
      </c>
      <c r="U337" s="37"/>
      <c r="V337" s="38" t="str">
        <f t="shared" si="331"/>
        <v/>
      </c>
      <c r="AF337" s="34"/>
      <c r="AG337" s="34"/>
      <c r="AH337" s="34"/>
      <c r="AI337" s="34"/>
      <c r="AJ337" s="34"/>
      <c r="DG337" s="8" t="str">
        <f t="shared" si="332"/>
        <v/>
      </c>
      <c r="DH337" s="3">
        <f t="shared" si="338"/>
        <v>7</v>
      </c>
      <c r="DN337" s="12">
        <f t="shared" si="333"/>
        <v>0</v>
      </c>
      <c r="DO337" s="5">
        <f t="shared" si="334"/>
        <v>0</v>
      </c>
      <c r="DP337" s="5" t="str">
        <f t="shared" si="335"/>
        <v/>
      </c>
      <c r="DQ337" s="5" t="str">
        <f t="shared" si="336"/>
        <v/>
      </c>
      <c r="DR337" s="5">
        <f t="shared" si="337"/>
        <v>0</v>
      </c>
    </row>
    <row r="338" spans="3:122" ht="11.25" customHeight="1" x14ac:dyDescent="0.2">
      <c r="C338" s="2" t="str">
        <f t="shared" si="323"/>
        <v>Freiburg</v>
      </c>
      <c r="D338" s="3" t="s">
        <v>11</v>
      </c>
      <c r="E338" s="2" t="str">
        <f t="shared" si="324"/>
        <v>M'gladb.</v>
      </c>
      <c r="F338" s="29"/>
      <c r="G338" s="3" t="s">
        <v>12</v>
      </c>
      <c r="H338" s="30"/>
      <c r="I338" s="37"/>
      <c r="J338" s="38" t="str">
        <f t="shared" si="325"/>
        <v/>
      </c>
      <c r="K338" s="37"/>
      <c r="L338" s="38" t="str">
        <f t="shared" si="326"/>
        <v/>
      </c>
      <c r="M338" s="37"/>
      <c r="N338" s="38" t="str">
        <f t="shared" si="327"/>
        <v/>
      </c>
      <c r="O338" s="37"/>
      <c r="P338" s="38" t="str">
        <f t="shared" si="328"/>
        <v/>
      </c>
      <c r="Q338" s="37"/>
      <c r="R338" s="38" t="str">
        <f t="shared" si="329"/>
        <v/>
      </c>
      <c r="S338" s="37"/>
      <c r="T338" s="38" t="str">
        <f t="shared" si="330"/>
        <v/>
      </c>
      <c r="U338" s="37"/>
      <c r="V338" s="38" t="str">
        <f t="shared" si="331"/>
        <v/>
      </c>
      <c r="AF338" s="34"/>
      <c r="AG338" s="34"/>
      <c r="AH338" s="34"/>
      <c r="AI338" s="34"/>
      <c r="AJ338" s="34"/>
      <c r="DG338" s="8" t="str">
        <f t="shared" si="332"/>
        <v/>
      </c>
      <c r="DH338" s="3">
        <f t="shared" si="338"/>
        <v>7</v>
      </c>
      <c r="DN338" s="12">
        <f t="shared" si="333"/>
        <v>0</v>
      </c>
      <c r="DO338" s="5">
        <f t="shared" si="334"/>
        <v>0</v>
      </c>
      <c r="DP338" s="5" t="str">
        <f t="shared" si="335"/>
        <v/>
      </c>
      <c r="DQ338" s="5" t="str">
        <f t="shared" si="336"/>
        <v/>
      </c>
      <c r="DR338" s="5">
        <f t="shared" si="337"/>
        <v>0</v>
      </c>
    </row>
    <row r="339" spans="3:122" ht="11.25" customHeight="1" x14ac:dyDescent="0.2">
      <c r="C339" s="2" t="str">
        <f t="shared" si="323"/>
        <v>Wolfsburg</v>
      </c>
      <c r="D339" s="3" t="s">
        <v>11</v>
      </c>
      <c r="E339" s="2" t="str">
        <f t="shared" si="324"/>
        <v>Augsburg</v>
      </c>
      <c r="F339" s="29"/>
      <c r="G339" s="3" t="s">
        <v>12</v>
      </c>
      <c r="H339" s="30"/>
      <c r="I339" s="37"/>
      <c r="J339" s="38" t="str">
        <f t="shared" si="325"/>
        <v/>
      </c>
      <c r="K339" s="37"/>
      <c r="L339" s="38" t="str">
        <f t="shared" si="326"/>
        <v/>
      </c>
      <c r="M339" s="37"/>
      <c r="N339" s="38" t="str">
        <f t="shared" si="327"/>
        <v/>
      </c>
      <c r="O339" s="37"/>
      <c r="P339" s="38" t="str">
        <f t="shared" si="328"/>
        <v/>
      </c>
      <c r="Q339" s="37"/>
      <c r="R339" s="38" t="str">
        <f t="shared" si="329"/>
        <v/>
      </c>
      <c r="S339" s="37"/>
      <c r="T339" s="38" t="str">
        <f t="shared" si="330"/>
        <v/>
      </c>
      <c r="U339" s="37"/>
      <c r="V339" s="38" t="str">
        <f t="shared" si="331"/>
        <v/>
      </c>
      <c r="AF339" s="34"/>
      <c r="AG339" s="34"/>
      <c r="AH339" s="34"/>
      <c r="AI339" s="34"/>
      <c r="AJ339" s="34"/>
      <c r="DG339" s="8" t="str">
        <f t="shared" si="332"/>
        <v/>
      </c>
      <c r="DH339" s="3">
        <f t="shared" si="338"/>
        <v>7</v>
      </c>
      <c r="DN339" s="12">
        <f t="shared" si="333"/>
        <v>0</v>
      </c>
      <c r="DO339" s="5">
        <f t="shared" si="334"/>
        <v>0</v>
      </c>
      <c r="DP339" s="5" t="str">
        <f t="shared" si="335"/>
        <v/>
      </c>
      <c r="DQ339" s="5" t="str">
        <f t="shared" si="336"/>
        <v/>
      </c>
      <c r="DR339" s="5">
        <f t="shared" si="337"/>
        <v>0</v>
      </c>
    </row>
    <row r="340" spans="3:122" ht="11.25" customHeight="1" x14ac:dyDescent="0.2">
      <c r="C340" s="2" t="str">
        <f t="shared" si="323"/>
        <v>Köln</v>
      </c>
      <c r="D340" s="3" t="s">
        <v>11</v>
      </c>
      <c r="E340" s="2" t="str">
        <f t="shared" si="324"/>
        <v>Hoffenheim</v>
      </c>
      <c r="F340" s="29"/>
      <c r="G340" s="3" t="s">
        <v>12</v>
      </c>
      <c r="H340" s="30"/>
      <c r="I340" s="37"/>
      <c r="J340" s="38" t="str">
        <f t="shared" si="325"/>
        <v/>
      </c>
      <c r="K340" s="37"/>
      <c r="L340" s="38" t="str">
        <f t="shared" si="326"/>
        <v/>
      </c>
      <c r="M340" s="37"/>
      <c r="N340" s="38" t="str">
        <f t="shared" si="327"/>
        <v/>
      </c>
      <c r="O340" s="37"/>
      <c r="P340" s="38" t="str">
        <f t="shared" si="328"/>
        <v/>
      </c>
      <c r="Q340" s="37"/>
      <c r="R340" s="38" t="str">
        <f t="shared" si="329"/>
        <v/>
      </c>
      <c r="S340" s="37"/>
      <c r="T340" s="38" t="str">
        <f t="shared" si="330"/>
        <v/>
      </c>
      <c r="U340" s="37"/>
      <c r="V340" s="38" t="str">
        <f t="shared" si="331"/>
        <v/>
      </c>
      <c r="AF340" s="34"/>
      <c r="AG340" s="34"/>
      <c r="AH340" s="34"/>
      <c r="AI340" s="34"/>
      <c r="AJ340" s="34"/>
      <c r="DG340" s="8" t="str">
        <f t="shared" si="332"/>
        <v/>
      </c>
      <c r="DH340" s="3">
        <f t="shared" si="338"/>
        <v>7</v>
      </c>
      <c r="DN340" s="12">
        <f t="shared" si="333"/>
        <v>0</v>
      </c>
      <c r="DO340" s="5">
        <f t="shared" si="334"/>
        <v>0</v>
      </c>
      <c r="DP340" s="5" t="str">
        <f t="shared" si="335"/>
        <v/>
      </c>
      <c r="DQ340" s="5" t="str">
        <f t="shared" si="336"/>
        <v/>
      </c>
      <c r="DR340" s="5">
        <f t="shared" si="337"/>
        <v>0</v>
      </c>
    </row>
    <row r="341" spans="3:122" ht="11.25" customHeight="1" thickBot="1" x14ac:dyDescent="0.25">
      <c r="C341" s="2" t="str">
        <f t="shared" si="323"/>
        <v>Mainz</v>
      </c>
      <c r="D341" s="3" t="s">
        <v>11</v>
      </c>
      <c r="E341" s="2" t="str">
        <f t="shared" si="324"/>
        <v>HSV</v>
      </c>
      <c r="F341" s="29"/>
      <c r="G341" s="3" t="s">
        <v>12</v>
      </c>
      <c r="H341" s="30"/>
      <c r="I341" s="37"/>
      <c r="J341" s="38" t="str">
        <f t="shared" si="325"/>
        <v/>
      </c>
      <c r="K341" s="37"/>
      <c r="L341" s="38" t="str">
        <f t="shared" si="326"/>
        <v/>
      </c>
      <c r="M341" s="37"/>
      <c r="N341" s="38" t="str">
        <f t="shared" si="327"/>
        <v/>
      </c>
      <c r="O341" s="37"/>
      <c r="P341" s="38" t="str">
        <f t="shared" si="328"/>
        <v/>
      </c>
      <c r="Q341" s="37"/>
      <c r="R341" s="38" t="str">
        <f t="shared" si="329"/>
        <v/>
      </c>
      <c r="S341" s="37"/>
      <c r="T341" s="38" t="str">
        <f t="shared" si="330"/>
        <v/>
      </c>
      <c r="U341" s="37"/>
      <c r="V341" s="38" t="str">
        <f t="shared" si="331"/>
        <v/>
      </c>
      <c r="AF341" s="34"/>
      <c r="AG341" s="34"/>
      <c r="AH341" s="34"/>
      <c r="AI341" s="34"/>
      <c r="AJ341" s="34"/>
      <c r="DG341" s="8" t="str">
        <f t="shared" si="332"/>
        <v/>
      </c>
      <c r="DH341" s="3">
        <f t="shared" si="338"/>
        <v>7</v>
      </c>
      <c r="DN341" s="12">
        <f t="shared" si="333"/>
        <v>0</v>
      </c>
      <c r="DO341" s="5">
        <f t="shared" si="334"/>
        <v>0</v>
      </c>
      <c r="DP341" s="5" t="str">
        <f t="shared" si="335"/>
        <v/>
      </c>
      <c r="DQ341" s="5" t="str">
        <f t="shared" si="336"/>
        <v/>
      </c>
      <c r="DR341" s="5">
        <f t="shared" si="337"/>
        <v>0</v>
      </c>
    </row>
    <row r="342" spans="3:122" ht="11.25" customHeight="1" thickTop="1" x14ac:dyDescent="0.2">
      <c r="C342" s="41">
        <f>(I342+K342+M342+O342+Q342+S342+U342)</f>
        <v>0</v>
      </c>
      <c r="E342" s="42">
        <f>C342/8</f>
        <v>0</v>
      </c>
      <c r="F342" s="41">
        <f>SUM(F333:F341)</f>
        <v>0</v>
      </c>
      <c r="G342" s="2"/>
      <c r="H342" s="43">
        <f>SUM(H333:H341)</f>
        <v>0</v>
      </c>
      <c r="I342" s="44">
        <f>COUNTIF(J333:J341,"&gt;0")</f>
        <v>0</v>
      </c>
      <c r="J342" s="45">
        <f>I342+J327</f>
        <v>0</v>
      </c>
      <c r="K342" s="44">
        <f>COUNTIF(L333:L341,"&gt;0")</f>
        <v>0</v>
      </c>
      <c r="L342" s="45">
        <f>K342+L327</f>
        <v>0</v>
      </c>
      <c r="M342" s="44">
        <f>COUNTIF(N333:N341,"&gt;0")</f>
        <v>0</v>
      </c>
      <c r="N342" s="45">
        <f>M342+N327</f>
        <v>0</v>
      </c>
      <c r="O342" s="44">
        <f>COUNTIF(P333:P341,"&gt;0")</f>
        <v>0</v>
      </c>
      <c r="P342" s="45">
        <f>O342+P327</f>
        <v>0</v>
      </c>
      <c r="Q342" s="44">
        <f>COUNTIF(R333:R341,"&gt;0")</f>
        <v>0</v>
      </c>
      <c r="R342" s="45">
        <f>Q342+R327</f>
        <v>0</v>
      </c>
      <c r="S342" s="44">
        <f>COUNTIF(T333:T341,"&gt;0")</f>
        <v>0</v>
      </c>
      <c r="T342" s="45">
        <f>S342+T327</f>
        <v>0</v>
      </c>
      <c r="U342" s="44">
        <f>COUNTIF(V333:V341,"&gt;0")</f>
        <v>0</v>
      </c>
      <c r="V342" s="45">
        <f>U342+V327</f>
        <v>0</v>
      </c>
      <c r="AF342" s="34"/>
      <c r="AG342" s="34"/>
      <c r="AH342" s="34"/>
      <c r="AI342" s="34"/>
      <c r="AJ342" s="34"/>
      <c r="DN342" s="12"/>
    </row>
    <row r="343" spans="3:122" ht="11.25" customHeight="1" x14ac:dyDescent="0.2">
      <c r="C343" s="41">
        <f>(I343+K343+M343+O343+Q343+S343+U343)</f>
        <v>0</v>
      </c>
      <c r="E343" s="42">
        <f>C343/8</f>
        <v>0</v>
      </c>
      <c r="F343" s="137">
        <f>F342+H342</f>
        <v>0</v>
      </c>
      <c r="G343" s="137"/>
      <c r="H343" s="137"/>
      <c r="I343" s="46">
        <f>SUM(J333:J341)</f>
        <v>0</v>
      </c>
      <c r="J343" s="47">
        <f>I343+J328</f>
        <v>0</v>
      </c>
      <c r="K343" s="46">
        <f>SUM(L333:L341)</f>
        <v>0</v>
      </c>
      <c r="L343" s="47">
        <f>K343+L328</f>
        <v>0</v>
      </c>
      <c r="M343" s="46">
        <f>SUM(N333:N341)</f>
        <v>0</v>
      </c>
      <c r="N343" s="47">
        <f>M343+N328</f>
        <v>0</v>
      </c>
      <c r="O343" s="46">
        <f>SUM(P333:P341)</f>
        <v>0</v>
      </c>
      <c r="P343" s="47">
        <f>O343+P328</f>
        <v>0</v>
      </c>
      <c r="Q343" s="46">
        <f>SUM(R333:R341)</f>
        <v>0</v>
      </c>
      <c r="R343" s="47">
        <f>Q343+R328</f>
        <v>0</v>
      </c>
      <c r="S343" s="46">
        <f>SUM(T333:T341)</f>
        <v>0</v>
      </c>
      <c r="T343" s="47">
        <f>S343+T328</f>
        <v>0</v>
      </c>
      <c r="U343" s="46">
        <f>SUM(V333:V341)</f>
        <v>0</v>
      </c>
      <c r="V343" s="47">
        <f>U343+V328</f>
        <v>0</v>
      </c>
      <c r="AF343" s="34"/>
      <c r="AG343" s="34"/>
      <c r="AH343" s="34"/>
      <c r="AI343" s="34"/>
      <c r="AJ343" s="34"/>
      <c r="DN343" s="12"/>
    </row>
    <row r="344" spans="3:122" ht="11.25" customHeight="1" thickBot="1" x14ac:dyDescent="0.25">
      <c r="C344" s="41">
        <f>(I344+K344+M344+O344+Q344+S344+U344)</f>
        <v>0</v>
      </c>
      <c r="E344" s="42">
        <f>C344/8</f>
        <v>0</v>
      </c>
      <c r="F344" s="138">
        <f>F343+F329</f>
        <v>0</v>
      </c>
      <c r="G344" s="138"/>
      <c r="H344" s="138"/>
      <c r="I344" s="48">
        <f>I342*I343</f>
        <v>0</v>
      </c>
      <c r="J344" s="49">
        <f>I344+J329</f>
        <v>0</v>
      </c>
      <c r="K344" s="48">
        <f>K342*K343</f>
        <v>0</v>
      </c>
      <c r="L344" s="49">
        <f>K344+L329</f>
        <v>0</v>
      </c>
      <c r="M344" s="48">
        <f>M342*M343</f>
        <v>0</v>
      </c>
      <c r="N344" s="49">
        <f>M344+N329</f>
        <v>0</v>
      </c>
      <c r="O344" s="48">
        <f>O342*O343</f>
        <v>0</v>
      </c>
      <c r="P344" s="49">
        <f>O344+P329</f>
        <v>0</v>
      </c>
      <c r="Q344" s="48">
        <f>Q342*Q343</f>
        <v>0</v>
      </c>
      <c r="R344" s="49">
        <f>Q344+R329</f>
        <v>0</v>
      </c>
      <c r="S344" s="48">
        <f>S342*S343</f>
        <v>0</v>
      </c>
      <c r="T344" s="49">
        <f>S344+T329</f>
        <v>0</v>
      </c>
      <c r="U344" s="48">
        <f>U342*U343</f>
        <v>0</v>
      </c>
      <c r="V344" s="49">
        <f>U344+V329</f>
        <v>0</v>
      </c>
      <c r="AF344" s="34"/>
      <c r="AG344" s="34"/>
      <c r="AH344" s="34"/>
      <c r="AI344" s="34"/>
      <c r="AJ344" s="34"/>
      <c r="AL344" s="5">
        <f>MAX(I344,K344,M344,O344,Q344,S344,U344)</f>
        <v>0</v>
      </c>
      <c r="AM344" s="5">
        <f>MIN(I344,K344,M344,O344,Q344,S344,U344)</f>
        <v>0</v>
      </c>
      <c r="AN344" s="5"/>
      <c r="AO344" s="5"/>
      <c r="AP344" s="5"/>
      <c r="AQ344" s="5"/>
      <c r="AR344" s="5"/>
      <c r="AS344" s="13"/>
      <c r="AT344" s="5"/>
      <c r="AU344" s="5"/>
      <c r="AV344" s="5"/>
      <c r="AW344" s="5"/>
      <c r="AX344" s="5"/>
      <c r="AY344" s="5"/>
      <c r="AZ344" s="5"/>
      <c r="BA344" s="5"/>
      <c r="BB344" s="5"/>
      <c r="BD344" s="5"/>
      <c r="BE344" s="5"/>
      <c r="BF344" s="14"/>
      <c r="BG344" s="13"/>
      <c r="BH344" s="5"/>
      <c r="BI344" s="14"/>
      <c r="BJ344" s="13"/>
      <c r="BK344" s="5"/>
      <c r="BL344" s="14"/>
      <c r="BM344" s="13"/>
      <c r="BN344" s="5"/>
      <c r="BO344" s="14"/>
      <c r="BP344" s="13"/>
      <c r="BQ344" s="5"/>
      <c r="BR344" s="14"/>
      <c r="BS344" s="13"/>
      <c r="BT344" s="5"/>
      <c r="BU344" s="14"/>
      <c r="BV344" s="13"/>
      <c r="BW344" s="5"/>
      <c r="BX344" s="14"/>
      <c r="BY344" s="13"/>
      <c r="BZ344" s="5"/>
      <c r="CA344" s="14"/>
      <c r="CB344" s="13"/>
      <c r="CC344" s="5"/>
      <c r="CD344" s="14"/>
      <c r="CE344" s="13"/>
      <c r="CF344" s="5"/>
      <c r="CG344" s="14"/>
      <c r="CH344" s="13"/>
      <c r="CI344" s="5"/>
      <c r="CJ344" s="14"/>
      <c r="CK344" s="13"/>
      <c r="CL344" s="5"/>
      <c r="CM344" s="14"/>
      <c r="CN344" s="13"/>
      <c r="CO344" s="5"/>
      <c r="CP344" s="14"/>
      <c r="CQ344" s="13"/>
      <c r="CR344" s="5"/>
      <c r="CS344" s="14"/>
      <c r="CT344" s="13"/>
      <c r="CU344" s="5"/>
      <c r="CV344" s="14"/>
      <c r="CW344" s="13"/>
      <c r="CX344" s="5"/>
      <c r="CY344" s="14"/>
      <c r="CZ344" s="13"/>
      <c r="DA344" s="5"/>
      <c r="DB344" s="14"/>
      <c r="DC344" s="13"/>
      <c r="DD344" s="5"/>
      <c r="DE344" s="14"/>
      <c r="DF344" s="5"/>
      <c r="DG344" s="5"/>
      <c r="DH344" s="5"/>
      <c r="DN344" s="12"/>
    </row>
    <row r="345" spans="3:122" ht="11.25" customHeight="1" thickTop="1" x14ac:dyDescent="0.2">
      <c r="I345" s="50"/>
      <c r="J345" s="50">
        <f>L344-J344</f>
        <v>0</v>
      </c>
      <c r="K345" s="50"/>
      <c r="L345" s="50"/>
      <c r="M345" s="50"/>
      <c r="N345" s="50">
        <f>L344-N344</f>
        <v>0</v>
      </c>
      <c r="O345" s="50"/>
      <c r="P345" s="50">
        <f>L344-P344</f>
        <v>0</v>
      </c>
      <c r="Q345" s="50"/>
      <c r="R345" s="50">
        <f>L344-R344</f>
        <v>0</v>
      </c>
      <c r="S345" s="50"/>
      <c r="T345" s="50">
        <f>L344-T344</f>
        <v>0</v>
      </c>
      <c r="U345" s="50"/>
      <c r="V345" s="50">
        <f>L344-V344</f>
        <v>0</v>
      </c>
    </row>
    <row r="346" spans="3:122" ht="11.25" customHeight="1" x14ac:dyDescent="0.2">
      <c r="I346" s="139" t="str">
        <f>ß101</f>
        <v>Kropp</v>
      </c>
      <c r="J346" s="139"/>
      <c r="K346" s="139" t="str">
        <f>ß102</f>
        <v>Nörnberg</v>
      </c>
      <c r="L346" s="139"/>
      <c r="M346" s="139" t="str">
        <f>ß103</f>
        <v>Bübel</v>
      </c>
      <c r="N346" s="139"/>
      <c r="O346" s="139" t="str">
        <f>ß104</f>
        <v>Schwicht.</v>
      </c>
      <c r="P346" s="139"/>
      <c r="Q346" s="139" t="str">
        <f>ß105</f>
        <v>Rontzko.</v>
      </c>
      <c r="R346" s="139"/>
      <c r="S346" s="139" t="str">
        <f>ß106</f>
        <v>Hauschildt</v>
      </c>
      <c r="T346" s="139"/>
      <c r="U346" s="139" t="str">
        <f>ß107</f>
        <v>Zerres</v>
      </c>
      <c r="V346" s="139"/>
      <c r="AF346" s="11"/>
      <c r="AG346" s="11"/>
      <c r="AH346" s="11"/>
      <c r="AI346" s="11"/>
      <c r="AJ346" s="11"/>
      <c r="AL346" s="5" t="str">
        <f>IF($I359=$AL359,I346,"x")</f>
        <v>Kropp</v>
      </c>
      <c r="AM346" s="5" t="str">
        <f>IF($K359=$AL359,K346,"x")</f>
        <v>Nörnberg</v>
      </c>
      <c r="AN346" s="5" t="str">
        <f>IF($M359=$AL359,M346,"x")</f>
        <v>Bübel</v>
      </c>
      <c r="AO346" s="5" t="str">
        <f>IF($O359=$AL359,O346,"x")</f>
        <v>Schwicht.</v>
      </c>
      <c r="AP346" s="5" t="str">
        <f>IF($Q359=$AL359,Q346,"x")</f>
        <v>Rontzko.</v>
      </c>
      <c r="AQ346" s="5" t="str">
        <f>IF($S359=$AL359,S346,"x")</f>
        <v>Hauschildt</v>
      </c>
      <c r="AR346" s="5" t="str">
        <f>IF($U359=$AL359,U346,"x")</f>
        <v>Zerres</v>
      </c>
      <c r="AS346" s="13" t="str">
        <f>IF($I359=$AM359,I346,"x")</f>
        <v>Kropp</v>
      </c>
      <c r="AT346" s="5" t="str">
        <f>IF($K359=$AM359,K346,"x")</f>
        <v>Nörnberg</v>
      </c>
      <c r="AU346" s="5" t="str">
        <f>IF($M359=$AM359,M346,"x")</f>
        <v>Bübel</v>
      </c>
      <c r="AV346" s="5" t="str">
        <f>IF($O359=$AM359,O346,"x")</f>
        <v>Schwicht.</v>
      </c>
      <c r="AW346" s="5" t="str">
        <f>IF($Q359=$AM359,Q346,"x")</f>
        <v>Rontzko.</v>
      </c>
      <c r="AX346" s="5" t="str">
        <f>IF($S359=$AM359,S346,"x")</f>
        <v>Hauschildt</v>
      </c>
      <c r="AY346" s="5" t="str">
        <f>IF($U359=$AM359,U346,"x")</f>
        <v>Zerres</v>
      </c>
      <c r="BD346" s="140" t="str">
        <f>ß01</f>
        <v>Bayern</v>
      </c>
      <c r="BE346" s="140"/>
      <c r="BF346" s="140"/>
      <c r="BG346" s="141" t="str">
        <f>ß02</f>
        <v>Leipzig</v>
      </c>
      <c r="BH346" s="141"/>
      <c r="BI346" s="141"/>
      <c r="BJ346" s="141" t="str">
        <f>ß03</f>
        <v>Leverk.</v>
      </c>
      <c r="BK346" s="141"/>
      <c r="BL346" s="141"/>
      <c r="BM346" s="141" t="str">
        <f>ß04</f>
        <v>Hoffenheim</v>
      </c>
      <c r="BN346" s="141"/>
      <c r="BO346" s="141"/>
      <c r="BP346" s="141" t="str">
        <f>ß05</f>
        <v>Frankfurt</v>
      </c>
      <c r="BQ346" s="141"/>
      <c r="BR346" s="141"/>
      <c r="BS346" s="141" t="str">
        <f>ß06</f>
        <v>Werder</v>
      </c>
      <c r="BT346" s="141"/>
      <c r="BU346" s="141"/>
      <c r="BV346" s="141" t="str">
        <f>ß07</f>
        <v>Freiburg</v>
      </c>
      <c r="BW346" s="141"/>
      <c r="BX346" s="141"/>
      <c r="BY346" s="141" t="str">
        <f>ß08</f>
        <v>Augsburg</v>
      </c>
      <c r="BZ346" s="141"/>
      <c r="CA346" s="141"/>
      <c r="CB346" s="141" t="str">
        <f>ß09</f>
        <v>Mainz</v>
      </c>
      <c r="CC346" s="141"/>
      <c r="CD346" s="141"/>
      <c r="CE346" s="141" t="str">
        <f>ß10</f>
        <v>Köln</v>
      </c>
      <c r="CF346" s="141"/>
      <c r="CG346" s="141"/>
      <c r="CH346" s="141" t="str">
        <f>ß11</f>
        <v>M'gladb.</v>
      </c>
      <c r="CI346" s="141"/>
      <c r="CJ346" s="141"/>
      <c r="CK346" s="141" t="str">
        <f>ß12</f>
        <v>HSV</v>
      </c>
      <c r="CL346" s="141"/>
      <c r="CM346" s="141"/>
      <c r="CN346" s="141" t="str">
        <f>ß13</f>
        <v>Union</v>
      </c>
      <c r="CO346" s="141"/>
      <c r="CP346" s="141"/>
      <c r="CQ346" s="141" t="str">
        <f>ß14</f>
        <v>Stuttgart</v>
      </c>
      <c r="CR346" s="141"/>
      <c r="CS346" s="141"/>
      <c r="CT346" s="141" t="str">
        <f>ß15</f>
        <v>St. Pauli</v>
      </c>
      <c r="CU346" s="141"/>
      <c r="CV346" s="141"/>
      <c r="CW346" s="141" t="str">
        <f>ß16</f>
        <v>Dortmund</v>
      </c>
      <c r="CX346" s="141"/>
      <c r="CY346" s="141"/>
      <c r="CZ346" s="141" t="str">
        <f>ß17</f>
        <v>Heidenheim</v>
      </c>
      <c r="DA346" s="141"/>
      <c r="DB346" s="141"/>
      <c r="DC346" s="141" t="str">
        <f>ß18</f>
        <v>Wolfsburg</v>
      </c>
      <c r="DD346" s="141"/>
      <c r="DE346" s="141"/>
    </row>
    <row r="347" spans="3:122" ht="11.25" customHeight="1" x14ac:dyDescent="0.2">
      <c r="C347" s="16" t="str">
        <f>Mannschaften!F24</f>
        <v>24. Spieltag</v>
      </c>
      <c r="D347" s="11"/>
      <c r="E347" s="17" t="str">
        <f>Mannschaften!G24</f>
        <v>27.2.-1.3.26</v>
      </c>
      <c r="I347" s="19">
        <f>RANK(Rang!A24,Rang!A24:G24)</f>
        <v>1</v>
      </c>
      <c r="J347" s="20">
        <f>RANK(Rang!H24,Rang!H24:N24)</f>
        <v>1</v>
      </c>
      <c r="K347" s="19">
        <f>RANK(Rang!B24,Rang!A24:G24)</f>
        <v>1</v>
      </c>
      <c r="L347" s="20">
        <f>RANK(Rang!I24,Rang!H24:N24)</f>
        <v>1</v>
      </c>
      <c r="M347" s="19">
        <f>RANK(Rang!C24,Rang!A24:G24)</f>
        <v>1</v>
      </c>
      <c r="N347" s="20">
        <f>RANK(Rang!J24,Rang!H24:N24)</f>
        <v>1</v>
      </c>
      <c r="O347" s="19">
        <f>RANK(Rang!D24,Rang!A24:G24)</f>
        <v>1</v>
      </c>
      <c r="P347" s="20">
        <f>RANK(Rang!K24,Rang!H24:N24)</f>
        <v>1</v>
      </c>
      <c r="Q347" s="19">
        <f>RANK(Rang!E24,Rang!A24:G24)</f>
        <v>1</v>
      </c>
      <c r="R347" s="20">
        <f>RANK(Rang!L24,Rang!H24:N24)</f>
        <v>1</v>
      </c>
      <c r="S347" s="19">
        <f>RANK(Rang!F24,Rang!A24:G24)</f>
        <v>1</v>
      </c>
      <c r="T347" s="20">
        <f>RANK(Rang!M24,Rang!H24:N24)</f>
        <v>1</v>
      </c>
      <c r="U347" s="19">
        <f>RANK(Rang!G24,Rang!A24:G24)</f>
        <v>1</v>
      </c>
      <c r="V347" s="20">
        <f>RANK(Rang!N24,Rang!H24:N24)</f>
        <v>1</v>
      </c>
      <c r="AF347" s="22"/>
      <c r="AG347" s="22"/>
      <c r="AH347" s="22"/>
      <c r="AI347" s="22"/>
      <c r="AJ347" s="22"/>
      <c r="AK347" s="21"/>
      <c r="AL347" s="21"/>
      <c r="AM347" s="21"/>
      <c r="AN347" s="21"/>
      <c r="AO347" s="21"/>
      <c r="AP347" s="21"/>
      <c r="AQ347" s="21"/>
      <c r="AR347" s="21"/>
      <c r="AS347" s="24"/>
      <c r="AT347" s="21"/>
      <c r="AU347" s="21"/>
      <c r="AV347" s="21"/>
      <c r="AW347" s="21"/>
      <c r="AX347" s="21"/>
      <c r="AY347" s="21"/>
      <c r="AZ347" s="21"/>
      <c r="BA347" s="21"/>
      <c r="BB347" s="21"/>
      <c r="BD347" s="25" t="s">
        <v>4</v>
      </c>
      <c r="BE347" s="25" t="s">
        <v>5</v>
      </c>
      <c r="BF347" s="26" t="s">
        <v>6</v>
      </c>
      <c r="BG347" s="27" t="s">
        <v>4</v>
      </c>
      <c r="BH347" s="25" t="s">
        <v>5</v>
      </c>
      <c r="BI347" s="26" t="s">
        <v>6</v>
      </c>
      <c r="BJ347" s="27" t="s">
        <v>4</v>
      </c>
      <c r="BK347" s="25" t="s">
        <v>5</v>
      </c>
      <c r="BL347" s="26" t="s">
        <v>6</v>
      </c>
      <c r="BM347" s="27" t="s">
        <v>4</v>
      </c>
      <c r="BN347" s="25" t="s">
        <v>5</v>
      </c>
      <c r="BO347" s="26" t="s">
        <v>6</v>
      </c>
      <c r="BP347" s="27" t="s">
        <v>4</v>
      </c>
      <c r="BQ347" s="25" t="s">
        <v>5</v>
      </c>
      <c r="BR347" s="26" t="s">
        <v>6</v>
      </c>
      <c r="BS347" s="27" t="s">
        <v>4</v>
      </c>
      <c r="BT347" s="25" t="s">
        <v>5</v>
      </c>
      <c r="BU347" s="26" t="s">
        <v>6</v>
      </c>
      <c r="BV347" s="27" t="s">
        <v>4</v>
      </c>
      <c r="BW347" s="25" t="s">
        <v>5</v>
      </c>
      <c r="BX347" s="26" t="s">
        <v>6</v>
      </c>
      <c r="BY347" s="27" t="s">
        <v>4</v>
      </c>
      <c r="BZ347" s="25" t="s">
        <v>5</v>
      </c>
      <c r="CA347" s="26" t="s">
        <v>6</v>
      </c>
      <c r="CB347" s="27" t="s">
        <v>4</v>
      </c>
      <c r="CC347" s="25" t="s">
        <v>5</v>
      </c>
      <c r="CD347" s="26" t="s">
        <v>6</v>
      </c>
      <c r="CE347" s="27" t="s">
        <v>4</v>
      </c>
      <c r="CF347" s="25" t="s">
        <v>5</v>
      </c>
      <c r="CG347" s="26" t="s">
        <v>6</v>
      </c>
      <c r="CH347" s="27" t="s">
        <v>4</v>
      </c>
      <c r="CI347" s="25" t="s">
        <v>5</v>
      </c>
      <c r="CJ347" s="26" t="s">
        <v>6</v>
      </c>
      <c r="CK347" s="27" t="s">
        <v>4</v>
      </c>
      <c r="CL347" s="25" t="s">
        <v>5</v>
      </c>
      <c r="CM347" s="26" t="s">
        <v>6</v>
      </c>
      <c r="CN347" s="27" t="s">
        <v>4</v>
      </c>
      <c r="CO347" s="25" t="s">
        <v>5</v>
      </c>
      <c r="CP347" s="26" t="s">
        <v>6</v>
      </c>
      <c r="CQ347" s="27" t="s">
        <v>4</v>
      </c>
      <c r="CR347" s="25" t="s">
        <v>5</v>
      </c>
      <c r="CS347" s="26" t="s">
        <v>6</v>
      </c>
      <c r="CT347" s="27" t="s">
        <v>4</v>
      </c>
      <c r="CU347" s="25" t="s">
        <v>5</v>
      </c>
      <c r="CV347" s="26" t="s">
        <v>6</v>
      </c>
      <c r="CW347" s="27" t="s">
        <v>4</v>
      </c>
      <c r="CX347" s="25" t="s">
        <v>5</v>
      </c>
      <c r="CY347" s="26" t="s">
        <v>6</v>
      </c>
      <c r="CZ347" s="27" t="s">
        <v>4</v>
      </c>
      <c r="DA347" s="25" t="s">
        <v>5</v>
      </c>
      <c r="DB347" s="26" t="s">
        <v>6</v>
      </c>
      <c r="DC347" s="27" t="s">
        <v>4</v>
      </c>
      <c r="DD347" s="25" t="s">
        <v>5</v>
      </c>
      <c r="DE347" s="26" t="s">
        <v>6</v>
      </c>
      <c r="DF347" s="21"/>
      <c r="DG347" s="21"/>
      <c r="DH347" s="21"/>
      <c r="DN347" s="136" t="s">
        <v>7</v>
      </c>
      <c r="DO347" s="136"/>
      <c r="DP347" s="136" t="s">
        <v>8</v>
      </c>
      <c r="DQ347" s="136"/>
      <c r="DR347" s="28"/>
    </row>
    <row r="348" spans="3:122" ht="11.25" customHeight="1" x14ac:dyDescent="0.2">
      <c r="C348" s="2" t="str">
        <f t="shared" ref="C348:C356" si="339">E93</f>
        <v>Dortmund</v>
      </c>
      <c r="D348" s="3" t="s">
        <v>11</v>
      </c>
      <c r="E348" s="2" t="str">
        <f t="shared" ref="E348:E356" si="340">C93</f>
        <v>Bayern</v>
      </c>
      <c r="F348" s="29"/>
      <c r="G348" s="3" t="s">
        <v>12</v>
      </c>
      <c r="H348" s="30"/>
      <c r="I348" s="31"/>
      <c r="J348" s="32" t="str">
        <f t="shared" ref="J348:J356" si="341">IF($F348="","",(IF(I348="","",IF(I348=$DG348,(VLOOKUP($DH348,$DJ$3:$DK$11,2,FALSE())),0))))</f>
        <v/>
      </c>
      <c r="K348" s="31"/>
      <c r="L348" s="32" t="str">
        <f t="shared" ref="L348:L356" si="342">IF($F348="","",(IF(K348="","",IF(K348=$DG348,(VLOOKUP($DH348,$DJ$3:$DK$11,2,FALSE())),0))))</f>
        <v/>
      </c>
      <c r="M348" s="31"/>
      <c r="N348" s="32" t="str">
        <f t="shared" ref="N348:N356" si="343">IF($F348="","",(IF(M348="","",IF(M348=$DG348,(VLOOKUP($DH348,$DJ$3:$DK$11,2,FALSE())),0))))</f>
        <v/>
      </c>
      <c r="O348" s="31"/>
      <c r="P348" s="32" t="str">
        <f t="shared" ref="P348:P356" si="344">IF($F348="","",(IF(O348="","",IF(O348=$DG348,(VLOOKUP($DH348,$DJ$3:$DK$11,2,FALSE())),0))))</f>
        <v/>
      </c>
      <c r="Q348" s="31"/>
      <c r="R348" s="32" t="str">
        <f t="shared" ref="R348:R356" si="345">IF($F348="","",(IF(Q348="","",IF(Q348=$DG348,(VLOOKUP($DH348,$DJ$3:$DK$11,2,FALSE())),0))))</f>
        <v/>
      </c>
      <c r="S348" s="31"/>
      <c r="T348" s="32" t="str">
        <f t="shared" ref="T348:T356" si="346">IF($F348="","",(IF(S348="","",IF(S348=$DG348,(VLOOKUP($DH348,$DJ$3:$DK$11,2,FALSE())),0))))</f>
        <v/>
      </c>
      <c r="U348" s="31"/>
      <c r="V348" s="32" t="str">
        <f t="shared" ref="V348:V356" si="347">IF($F348="","",(IF(U348="","",IF(U348=$DG348,(VLOOKUP($DH348,$DJ$3:$DK$11,2,FALSE())),0))))</f>
        <v/>
      </c>
      <c r="AF348" s="34"/>
      <c r="AG348" s="34"/>
      <c r="AH348" s="34"/>
      <c r="AI348" s="34"/>
      <c r="AJ348" s="34"/>
      <c r="AN348" s="5"/>
      <c r="AO348" s="5"/>
      <c r="AP348" s="5"/>
      <c r="AQ348" s="5"/>
      <c r="AR348" s="5"/>
      <c r="AS348" s="13"/>
      <c r="AT348" s="5"/>
      <c r="AU348" s="5"/>
      <c r="AV348" s="5"/>
      <c r="AW348" s="5"/>
      <c r="AX348" s="5"/>
      <c r="AY348" s="5"/>
      <c r="BC348" s="6">
        <v>347</v>
      </c>
      <c r="BD348" s="35" t="str">
        <f>IF(ISERROR(MATCH(ß01,$C348:$C356,0)),"",MATCH(ß01,$C348:$C356,0))</f>
        <v/>
      </c>
      <c r="BE348" s="35">
        <f>IF(ISERROR(MATCH(ß01,$E348:$E356,0)),"",MATCH(ß01,$E348:$E356,0))</f>
        <v>1</v>
      </c>
      <c r="BF348" s="15">
        <f>SUM(BD348:BE348)+BC348</f>
        <v>348</v>
      </c>
      <c r="BG348" s="36" t="str">
        <f>IF(ISERROR(MATCH(ß02,$C348:$C356,0)),"",MATCH(ß02,$C348:$C356,0))</f>
        <v/>
      </c>
      <c r="BH348" s="35">
        <f>IF(ISERROR(MATCH(ß02,$E348:$E356,0)),"",MATCH(ß02,$E348:$E356,0))</f>
        <v>4</v>
      </c>
      <c r="BI348" s="15">
        <f>SUM(BG348:BH348)+BC348</f>
        <v>351</v>
      </c>
      <c r="BJ348" s="36">
        <f>IF(ISERROR(MATCH(ß03,$C348:$C356,0)),"",MATCH(ß03,$C348:$C356,0))</f>
        <v>3</v>
      </c>
      <c r="BK348" s="35" t="str">
        <f>IF(ISERROR(MATCH(ß03,$E348:$E356,0)),"",MATCH(ß03,$E348:$E356,0))</f>
        <v/>
      </c>
      <c r="BL348" s="15">
        <f>SUM(BJ348:BK348)+BC348</f>
        <v>350</v>
      </c>
      <c r="BM348" s="36">
        <f>IF(ISERROR(MATCH(ß04,$C348:$C356,0)),"",MATCH(ß04,$C348:$C356,0))</f>
        <v>7</v>
      </c>
      <c r="BN348" s="35" t="str">
        <f>IF(ISERROR(MATCH(ß04,$E348:$E356,0)),"",MATCH(ß04,$E348:$E356,0))</f>
        <v/>
      </c>
      <c r="BO348" s="15">
        <f>SUM(BM348:BN348)+BC348</f>
        <v>354</v>
      </c>
      <c r="BP348" s="36">
        <f>IF(ISERROR(MATCH(ß05,$C348:$C356,0)),"",MATCH(ß05,$C348:$C356,0))</f>
        <v>2</v>
      </c>
      <c r="BQ348" s="35" t="str">
        <f>IF(ISERROR(MATCH(ß05,$E348:$E356,0)),"",MATCH(ß05,$E348:$E356,0))</f>
        <v/>
      </c>
      <c r="BR348" s="15">
        <f>SUM(BP348:BQ348)+BC348</f>
        <v>349</v>
      </c>
      <c r="BS348" s="36">
        <f>IF(ISERROR(MATCH(ß06,$C348:$C356,0)),"",MATCH(ß06,$C348:$C356,0))</f>
        <v>8</v>
      </c>
      <c r="BT348" s="35" t="str">
        <f>IF(ISERROR(MATCH(ß06,$E348:$E356,0)),"",MATCH(ß06,$E348:$E356,0))</f>
        <v/>
      </c>
      <c r="BU348" s="15">
        <f>SUM(BS348:BT348)+BC348</f>
        <v>355</v>
      </c>
      <c r="BV348" s="36" t="str">
        <f>IF(ISERROR(MATCH(ß07,$C348:$C356,0)),"",MATCH(ß07,$C348:$C356,0))</f>
        <v/>
      </c>
      <c r="BW348" s="35">
        <f>IF(ISERROR(MATCH(ß07,$E348:$E356,0)),"",MATCH(ß07,$E348:$E356,0))</f>
        <v>2</v>
      </c>
      <c r="BX348" s="15">
        <f>SUM(BV348:BW348)+BC348</f>
        <v>349</v>
      </c>
      <c r="BY348" s="36">
        <f>IF(ISERROR(MATCH(ß08,$C348:$C356,0)),"",MATCH(ß08,$C348:$C356,0))</f>
        <v>9</v>
      </c>
      <c r="BZ348" s="35" t="str">
        <f>IF(ISERROR(MATCH(ß08,$E348:$E356,0)),"",MATCH(ß08,$E348:$E356,0))</f>
        <v/>
      </c>
      <c r="CA348" s="15">
        <f>SUM(BY348:BZ348)+BC348</f>
        <v>356</v>
      </c>
      <c r="CB348" s="36" t="str">
        <f>IF(ISERROR(MATCH(ß09,$C348:$C356,0)),"",MATCH(ß09,$C348:$C356,0))</f>
        <v/>
      </c>
      <c r="CC348" s="35">
        <f>IF(ISERROR(MATCH(ß09,$E348:$E356,0)),"",MATCH(ß09,$E348:$E356,0))</f>
        <v>3</v>
      </c>
      <c r="CD348" s="15">
        <f>SUM(CB348:CC348)+BC348</f>
        <v>350</v>
      </c>
      <c r="CE348" s="36" t="str">
        <f>IF(ISERROR(MATCH(ß10,$C348:$C356,0)),"",MATCH(ß10,$C348:$C356,0))</f>
        <v/>
      </c>
      <c r="CF348" s="35">
        <f>IF(ISERROR(MATCH(ß10,$E348:$E356,0)),"",MATCH(ß10,$E348:$E356,0))</f>
        <v>9</v>
      </c>
      <c r="CG348" s="15">
        <f>SUM(CE348:CF348)+BC348</f>
        <v>356</v>
      </c>
      <c r="CH348" s="36">
        <f>IF(ISERROR(MATCH(ß11,$C348:$C356,0)),"",MATCH(ß11,$C348:$C356,0))</f>
        <v>6</v>
      </c>
      <c r="CI348" s="35" t="str">
        <f>IF(ISERROR(MATCH(ß11,$E348:$E356,0)),"",MATCH(ß11,$E348:$E356,0))</f>
        <v/>
      </c>
      <c r="CJ348" s="15">
        <f>SUM(CH348:CI348)+BC348</f>
        <v>353</v>
      </c>
      <c r="CK348" s="36">
        <f>IF(ISERROR(MATCH(ß12,$C348:$C356,0)),"",MATCH(ß12,$C348:$C356,0))</f>
        <v>4</v>
      </c>
      <c r="CL348" s="35" t="str">
        <f>IF(ISERROR(MATCH(ß12,$E348:$E356,0)),"",MATCH(ß12,$E348:$E356,0))</f>
        <v/>
      </c>
      <c r="CM348" s="15">
        <f>SUM(CK348:CL348)+BC348</f>
        <v>351</v>
      </c>
      <c r="CN348" s="36" t="str">
        <f>IF(ISERROR(MATCH(ß13,$C348:$C356,0)),"",MATCH(ß13,$C348:$C356,0))</f>
        <v/>
      </c>
      <c r="CO348" s="35">
        <f>IF(ISERROR(MATCH(ß13,$E348:$E356,0)),"",MATCH(ß13,$E348:$E356,0))</f>
        <v>6</v>
      </c>
      <c r="CP348" s="15">
        <f>SUM(CN348:CO348)+BC348</f>
        <v>353</v>
      </c>
      <c r="CQ348" s="36">
        <f>IF(ISERROR(MATCH(ß14,$C348:$C356,0)),"",MATCH(ß14,$C348:$C356,0))</f>
        <v>5</v>
      </c>
      <c r="CR348" s="35" t="str">
        <f>IF(ISERROR(MATCH(ß14,$E348:$E356,0)),"",MATCH(ß14,$E348:$E356,0))</f>
        <v/>
      </c>
      <c r="CS348" s="15">
        <f>SUM(CQ348:CR348)+BC348</f>
        <v>352</v>
      </c>
      <c r="CT348" s="36" t="str">
        <f>IF(ISERROR(MATCH(ß15,$C348:$C356,0)),"",MATCH(ß15,$C348:$C356,0))</f>
        <v/>
      </c>
      <c r="CU348" s="35">
        <f>IF(ISERROR(MATCH(ß15,$E348:$E356,0)),"",MATCH(ß15,$E348:$E356,0))</f>
        <v>7</v>
      </c>
      <c r="CV348" s="15">
        <f>SUM(CT348:CU348)+BC348</f>
        <v>354</v>
      </c>
      <c r="CW348" s="36">
        <f>IF(ISERROR(MATCH(ß16,$C348:$C356,0)),"",MATCH(ß16,$C348:$C356,0))</f>
        <v>1</v>
      </c>
      <c r="CX348" s="35" t="str">
        <f>IF(ISERROR(MATCH(ß16,$E348:$E356,0)),"",MATCH(ß16,$E348:$E356,0))</f>
        <v/>
      </c>
      <c r="CY348" s="15">
        <f>SUM(CW348:CX348)+BC348</f>
        <v>348</v>
      </c>
      <c r="CZ348" s="36" t="str">
        <f>IF(ISERROR(MATCH(ß17,$C348:$C356,0)),"",MATCH(ß17,$C348:$C356,0))</f>
        <v/>
      </c>
      <c r="DA348" s="35">
        <f>IF(ISERROR(MATCH(ß17,$E348:$E356,0)),"",MATCH(ß17,$E348:$E356,0))</f>
        <v>8</v>
      </c>
      <c r="DB348" s="15">
        <f>SUM(CZ348:DA348)+BC348</f>
        <v>355</v>
      </c>
      <c r="DC348" s="36" t="str">
        <f>IF(ISERROR(MATCH(ß18,$C348:$C356,0)),"",MATCH(ß18,$C348:$C356,0))</f>
        <v/>
      </c>
      <c r="DD348" s="35">
        <f>IF(ISERROR(MATCH(ß18,$E348:$E356,0)),"",MATCH(ß18,$E348:$E356,0))</f>
        <v>5</v>
      </c>
      <c r="DE348" s="15">
        <f>SUM(DC348:DD348)+BC348</f>
        <v>352</v>
      </c>
      <c r="DG348" s="8" t="str">
        <f t="shared" ref="DG348:DG356" si="348">IF(F348="","",(IF(F348=H348,0,IF(F348&gt;H348,1,IF(F348&lt;H348,2)))))</f>
        <v/>
      </c>
      <c r="DH348" s="3">
        <f>COUNTIF(I348,DG348)+COUNTIF(K348,DG348)+COUNTIF(M348,DG348)+COUNTIF(O348,DG348)+COUNTIF(Q348,DG348)+COUNTIF(S348,DG348)+COUNTIF(U348,DG348)</f>
        <v>7</v>
      </c>
      <c r="DN348" s="12">
        <f t="shared" ref="DN348:DN356" si="349">F348</f>
        <v>0</v>
      </c>
      <c r="DO348" s="5">
        <f t="shared" ref="DO348:DO356" si="350">H348</f>
        <v>0</v>
      </c>
      <c r="DP348" s="5" t="str">
        <f t="shared" ref="DP348:DP356" si="351">IF($F348="","",IF(DN348&gt;DO348,3,IF(DN348&lt;DO348,0,1)))</f>
        <v/>
      </c>
      <c r="DQ348" s="5" t="str">
        <f t="shared" ref="DQ348:DQ356" si="352">IF($H348="","",IF(DO348&gt;DN348,3,IF(DO348&lt;DN348,0,1)))</f>
        <v/>
      </c>
      <c r="DR348" s="5">
        <f t="shared" ref="DR348:DR356" si="353">IF(ISBLANK(F348),0,1)</f>
        <v>0</v>
      </c>
    </row>
    <row r="349" spans="3:122" ht="11.25" customHeight="1" x14ac:dyDescent="0.2">
      <c r="C349" s="2" t="str">
        <f t="shared" si="339"/>
        <v>Frankfurt</v>
      </c>
      <c r="D349" s="3" t="s">
        <v>11</v>
      </c>
      <c r="E349" s="2" t="str">
        <f t="shared" si="340"/>
        <v>Freiburg</v>
      </c>
      <c r="F349" s="29"/>
      <c r="G349" s="3" t="s">
        <v>12</v>
      </c>
      <c r="H349" s="30"/>
      <c r="I349" s="37"/>
      <c r="J349" s="38" t="str">
        <f t="shared" si="341"/>
        <v/>
      </c>
      <c r="K349" s="37"/>
      <c r="L349" s="38" t="str">
        <f t="shared" si="342"/>
        <v/>
      </c>
      <c r="M349" s="37"/>
      <c r="N349" s="38" t="str">
        <f t="shared" si="343"/>
        <v/>
      </c>
      <c r="O349" s="37"/>
      <c r="P349" s="38" t="str">
        <f t="shared" si="344"/>
        <v/>
      </c>
      <c r="Q349" s="37"/>
      <c r="R349" s="38" t="str">
        <f t="shared" si="345"/>
        <v/>
      </c>
      <c r="S349" s="37"/>
      <c r="T349" s="38" t="str">
        <f t="shared" si="346"/>
        <v/>
      </c>
      <c r="U349" s="37"/>
      <c r="V349" s="38" t="str">
        <f t="shared" si="347"/>
        <v/>
      </c>
      <c r="AF349" s="34"/>
      <c r="AG349" s="34"/>
      <c r="AH349" s="34"/>
      <c r="AI349" s="34"/>
      <c r="AJ349" s="34"/>
      <c r="DG349" s="8" t="str">
        <f t="shared" si="348"/>
        <v/>
      </c>
      <c r="DH349" s="3">
        <f t="shared" ref="DH349:DH356" si="354">COUNTIF(I349,DG349)+COUNTIF(K349,DG349)+COUNTIF(M349,DG349)+COUNTIF(O349,DG349)+COUNTIF(Q349,DG349)+COUNTIF(S349,DG349)+COUNTIF(U349,DG349)</f>
        <v>7</v>
      </c>
      <c r="DN349" s="12">
        <f t="shared" si="349"/>
        <v>0</v>
      </c>
      <c r="DO349" s="5">
        <f t="shared" si="350"/>
        <v>0</v>
      </c>
      <c r="DP349" s="5" t="str">
        <f t="shared" si="351"/>
        <v/>
      </c>
      <c r="DQ349" s="5" t="str">
        <f t="shared" si="352"/>
        <v/>
      </c>
      <c r="DR349" s="5">
        <f t="shared" si="353"/>
        <v>0</v>
      </c>
    </row>
    <row r="350" spans="3:122" ht="11.25" customHeight="1" x14ac:dyDescent="0.2">
      <c r="C350" s="2" t="str">
        <f t="shared" si="339"/>
        <v>Leverk.</v>
      </c>
      <c r="D350" s="3" t="s">
        <v>11</v>
      </c>
      <c r="E350" s="2" t="str">
        <f t="shared" si="340"/>
        <v>Mainz</v>
      </c>
      <c r="F350" s="29"/>
      <c r="G350" s="3" t="s">
        <v>12</v>
      </c>
      <c r="H350" s="30"/>
      <c r="I350" s="37"/>
      <c r="J350" s="38" t="str">
        <f t="shared" si="341"/>
        <v/>
      </c>
      <c r="K350" s="37"/>
      <c r="L350" s="38" t="str">
        <f t="shared" si="342"/>
        <v/>
      </c>
      <c r="M350" s="37"/>
      <c r="N350" s="38" t="str">
        <f t="shared" si="343"/>
        <v/>
      </c>
      <c r="O350" s="37"/>
      <c r="P350" s="38" t="str">
        <f t="shared" si="344"/>
        <v/>
      </c>
      <c r="Q350" s="37"/>
      <c r="R350" s="38" t="str">
        <f t="shared" si="345"/>
        <v/>
      </c>
      <c r="S350" s="37"/>
      <c r="T350" s="38" t="str">
        <f t="shared" si="346"/>
        <v/>
      </c>
      <c r="U350" s="37"/>
      <c r="V350" s="38" t="str">
        <f t="shared" si="347"/>
        <v/>
      </c>
      <c r="AF350" s="34"/>
      <c r="AG350" s="34"/>
      <c r="AH350" s="34"/>
      <c r="AI350" s="34"/>
      <c r="AJ350" s="34"/>
      <c r="DG350" s="8" t="str">
        <f t="shared" si="348"/>
        <v/>
      </c>
      <c r="DH350" s="3">
        <f t="shared" si="354"/>
        <v>7</v>
      </c>
      <c r="DN350" s="12">
        <f t="shared" si="349"/>
        <v>0</v>
      </c>
      <c r="DO350" s="5">
        <f t="shared" si="350"/>
        <v>0</v>
      </c>
      <c r="DP350" s="5" t="str">
        <f t="shared" si="351"/>
        <v/>
      </c>
      <c r="DQ350" s="5" t="str">
        <f t="shared" si="352"/>
        <v/>
      </c>
      <c r="DR350" s="5">
        <f t="shared" si="353"/>
        <v>0</v>
      </c>
    </row>
    <row r="351" spans="3:122" ht="11.25" customHeight="1" x14ac:dyDescent="0.2">
      <c r="C351" s="2" t="str">
        <f t="shared" si="339"/>
        <v>HSV</v>
      </c>
      <c r="D351" s="3" t="s">
        <v>11</v>
      </c>
      <c r="E351" s="2" t="str">
        <f t="shared" si="340"/>
        <v>Leipzig</v>
      </c>
      <c r="F351" s="29"/>
      <c r="G351" s="3" t="s">
        <v>12</v>
      </c>
      <c r="H351" s="30"/>
      <c r="I351" s="37"/>
      <c r="J351" s="38" t="str">
        <f t="shared" si="341"/>
        <v/>
      </c>
      <c r="K351" s="37"/>
      <c r="L351" s="38" t="str">
        <f t="shared" si="342"/>
        <v/>
      </c>
      <c r="M351" s="37"/>
      <c r="N351" s="38" t="str">
        <f t="shared" si="343"/>
        <v/>
      </c>
      <c r="O351" s="37"/>
      <c r="P351" s="38" t="str">
        <f t="shared" si="344"/>
        <v/>
      </c>
      <c r="Q351" s="37"/>
      <c r="R351" s="38" t="str">
        <f t="shared" si="345"/>
        <v/>
      </c>
      <c r="S351" s="37"/>
      <c r="T351" s="38" t="str">
        <f t="shared" si="346"/>
        <v/>
      </c>
      <c r="U351" s="37"/>
      <c r="V351" s="38" t="str">
        <f t="shared" si="347"/>
        <v/>
      </c>
      <c r="AF351" s="34"/>
      <c r="AG351" s="34"/>
      <c r="AH351" s="34"/>
      <c r="AI351" s="34"/>
      <c r="AJ351" s="34"/>
      <c r="DG351" s="8" t="str">
        <f t="shared" si="348"/>
        <v/>
      </c>
      <c r="DH351" s="3">
        <f t="shared" si="354"/>
        <v>7</v>
      </c>
      <c r="DN351" s="12">
        <f t="shared" si="349"/>
        <v>0</v>
      </c>
      <c r="DO351" s="5">
        <f t="shared" si="350"/>
        <v>0</v>
      </c>
      <c r="DP351" s="5" t="str">
        <f t="shared" si="351"/>
        <v/>
      </c>
      <c r="DQ351" s="5" t="str">
        <f t="shared" si="352"/>
        <v/>
      </c>
      <c r="DR351" s="5">
        <f t="shared" si="353"/>
        <v>0</v>
      </c>
    </row>
    <row r="352" spans="3:122" ht="11.25" customHeight="1" x14ac:dyDescent="0.2">
      <c r="C352" s="2" t="str">
        <f t="shared" si="339"/>
        <v>Stuttgart</v>
      </c>
      <c r="D352" s="3" t="s">
        <v>11</v>
      </c>
      <c r="E352" s="2" t="str">
        <f t="shared" si="340"/>
        <v>Wolfsburg</v>
      </c>
      <c r="F352" s="29"/>
      <c r="G352" s="3" t="s">
        <v>12</v>
      </c>
      <c r="H352" s="30"/>
      <c r="I352" s="37"/>
      <c r="J352" s="38" t="str">
        <f t="shared" si="341"/>
        <v/>
      </c>
      <c r="K352" s="37"/>
      <c r="L352" s="38" t="str">
        <f t="shared" si="342"/>
        <v/>
      </c>
      <c r="M352" s="37"/>
      <c r="N352" s="38" t="str">
        <f t="shared" si="343"/>
        <v/>
      </c>
      <c r="O352" s="37"/>
      <c r="P352" s="38" t="str">
        <f t="shared" si="344"/>
        <v/>
      </c>
      <c r="Q352" s="37"/>
      <c r="R352" s="38" t="str">
        <f t="shared" si="345"/>
        <v/>
      </c>
      <c r="S352" s="37"/>
      <c r="T352" s="38" t="str">
        <f t="shared" si="346"/>
        <v/>
      </c>
      <c r="U352" s="37"/>
      <c r="V352" s="38" t="str">
        <f t="shared" si="347"/>
        <v/>
      </c>
      <c r="AF352" s="34"/>
      <c r="AG352" s="34"/>
      <c r="AH352" s="34"/>
      <c r="AI352" s="34"/>
      <c r="AJ352" s="34"/>
      <c r="DG352" s="8" t="str">
        <f t="shared" si="348"/>
        <v/>
      </c>
      <c r="DH352" s="3">
        <f t="shared" si="354"/>
        <v>7</v>
      </c>
      <c r="DN352" s="12">
        <f t="shared" si="349"/>
        <v>0</v>
      </c>
      <c r="DO352" s="5">
        <f t="shared" si="350"/>
        <v>0</v>
      </c>
      <c r="DP352" s="5" t="str">
        <f t="shared" si="351"/>
        <v/>
      </c>
      <c r="DQ352" s="5" t="str">
        <f t="shared" si="352"/>
        <v/>
      </c>
      <c r="DR352" s="5">
        <f t="shared" si="353"/>
        <v>0</v>
      </c>
    </row>
    <row r="353" spans="3:122" ht="11.25" customHeight="1" x14ac:dyDescent="0.2">
      <c r="C353" s="2" t="str">
        <f t="shared" si="339"/>
        <v>M'gladb.</v>
      </c>
      <c r="D353" s="3" t="s">
        <v>11</v>
      </c>
      <c r="E353" s="2" t="str">
        <f t="shared" si="340"/>
        <v>Union</v>
      </c>
      <c r="F353" s="29"/>
      <c r="G353" s="3" t="s">
        <v>12</v>
      </c>
      <c r="H353" s="30"/>
      <c r="I353" s="37"/>
      <c r="J353" s="38" t="str">
        <f t="shared" si="341"/>
        <v/>
      </c>
      <c r="K353" s="37"/>
      <c r="L353" s="38" t="str">
        <f t="shared" si="342"/>
        <v/>
      </c>
      <c r="M353" s="37"/>
      <c r="N353" s="38" t="str">
        <f t="shared" si="343"/>
        <v/>
      </c>
      <c r="O353" s="37"/>
      <c r="P353" s="38" t="str">
        <f t="shared" si="344"/>
        <v/>
      </c>
      <c r="Q353" s="37"/>
      <c r="R353" s="38" t="str">
        <f t="shared" si="345"/>
        <v/>
      </c>
      <c r="S353" s="37"/>
      <c r="T353" s="38" t="str">
        <f t="shared" si="346"/>
        <v/>
      </c>
      <c r="U353" s="37"/>
      <c r="V353" s="38" t="str">
        <f t="shared" si="347"/>
        <v/>
      </c>
      <c r="AF353" s="34"/>
      <c r="AG353" s="34"/>
      <c r="AH353" s="34"/>
      <c r="AI353" s="34"/>
      <c r="AJ353" s="34"/>
      <c r="DG353" s="8" t="str">
        <f t="shared" si="348"/>
        <v/>
      </c>
      <c r="DH353" s="3">
        <f t="shared" si="354"/>
        <v>7</v>
      </c>
      <c r="DN353" s="12">
        <f t="shared" si="349"/>
        <v>0</v>
      </c>
      <c r="DO353" s="5">
        <f t="shared" si="350"/>
        <v>0</v>
      </c>
      <c r="DP353" s="5" t="str">
        <f t="shared" si="351"/>
        <v/>
      </c>
      <c r="DQ353" s="5" t="str">
        <f t="shared" si="352"/>
        <v/>
      </c>
      <c r="DR353" s="5">
        <f t="shared" si="353"/>
        <v>0</v>
      </c>
    </row>
    <row r="354" spans="3:122" ht="11.25" customHeight="1" x14ac:dyDescent="0.2">
      <c r="C354" s="2" t="str">
        <f t="shared" si="339"/>
        <v>Hoffenheim</v>
      </c>
      <c r="D354" s="3" t="s">
        <v>11</v>
      </c>
      <c r="E354" s="2" t="str">
        <f t="shared" si="340"/>
        <v>St. Pauli</v>
      </c>
      <c r="F354" s="29"/>
      <c r="G354" s="3" t="s">
        <v>12</v>
      </c>
      <c r="H354" s="30"/>
      <c r="I354" s="37"/>
      <c r="J354" s="38" t="str">
        <f t="shared" si="341"/>
        <v/>
      </c>
      <c r="K354" s="37"/>
      <c r="L354" s="38" t="str">
        <f t="shared" si="342"/>
        <v/>
      </c>
      <c r="M354" s="37"/>
      <c r="N354" s="38" t="str">
        <f t="shared" si="343"/>
        <v/>
      </c>
      <c r="O354" s="37"/>
      <c r="P354" s="38" t="str">
        <f t="shared" si="344"/>
        <v/>
      </c>
      <c r="Q354" s="37"/>
      <c r="R354" s="38" t="str">
        <f t="shared" si="345"/>
        <v/>
      </c>
      <c r="S354" s="37"/>
      <c r="T354" s="38" t="str">
        <f t="shared" si="346"/>
        <v/>
      </c>
      <c r="U354" s="37"/>
      <c r="V354" s="38" t="str">
        <f t="shared" si="347"/>
        <v/>
      </c>
      <c r="AF354" s="34"/>
      <c r="AG354" s="34"/>
      <c r="AH354" s="34"/>
      <c r="AI354" s="34"/>
      <c r="AJ354" s="34"/>
      <c r="DG354" s="8" t="str">
        <f t="shared" si="348"/>
        <v/>
      </c>
      <c r="DH354" s="3">
        <f t="shared" si="354"/>
        <v>7</v>
      </c>
      <c r="DN354" s="12">
        <f t="shared" si="349"/>
        <v>0</v>
      </c>
      <c r="DO354" s="5">
        <f t="shared" si="350"/>
        <v>0</v>
      </c>
      <c r="DP354" s="5" t="str">
        <f t="shared" si="351"/>
        <v/>
      </c>
      <c r="DQ354" s="5" t="str">
        <f t="shared" si="352"/>
        <v/>
      </c>
      <c r="DR354" s="5">
        <f t="shared" si="353"/>
        <v>0</v>
      </c>
    </row>
    <row r="355" spans="3:122" ht="11.25" customHeight="1" x14ac:dyDescent="0.2">
      <c r="C355" s="2" t="str">
        <f t="shared" si="339"/>
        <v>Werder</v>
      </c>
      <c r="D355" s="3" t="s">
        <v>11</v>
      </c>
      <c r="E355" s="2" t="str">
        <f t="shared" si="340"/>
        <v>Heidenheim</v>
      </c>
      <c r="F355" s="29"/>
      <c r="G355" s="3" t="s">
        <v>12</v>
      </c>
      <c r="H355" s="30"/>
      <c r="I355" s="37"/>
      <c r="J355" s="38" t="str">
        <f t="shared" si="341"/>
        <v/>
      </c>
      <c r="K355" s="37"/>
      <c r="L355" s="38" t="str">
        <f t="shared" si="342"/>
        <v/>
      </c>
      <c r="M355" s="37"/>
      <c r="N355" s="38" t="str">
        <f t="shared" si="343"/>
        <v/>
      </c>
      <c r="O355" s="37"/>
      <c r="P355" s="38" t="str">
        <f t="shared" si="344"/>
        <v/>
      </c>
      <c r="Q355" s="37"/>
      <c r="R355" s="38" t="str">
        <f t="shared" si="345"/>
        <v/>
      </c>
      <c r="S355" s="37"/>
      <c r="T355" s="38" t="str">
        <f t="shared" si="346"/>
        <v/>
      </c>
      <c r="U355" s="37"/>
      <c r="V355" s="38" t="str">
        <f t="shared" si="347"/>
        <v/>
      </c>
      <c r="AF355" s="34"/>
      <c r="AG355" s="34"/>
      <c r="AH355" s="34"/>
      <c r="AI355" s="34"/>
      <c r="AJ355" s="34"/>
      <c r="DG355" s="8" t="str">
        <f t="shared" si="348"/>
        <v/>
      </c>
      <c r="DH355" s="3">
        <f t="shared" si="354"/>
        <v>7</v>
      </c>
      <c r="DN355" s="12">
        <f t="shared" si="349"/>
        <v>0</v>
      </c>
      <c r="DO355" s="5">
        <f t="shared" si="350"/>
        <v>0</v>
      </c>
      <c r="DP355" s="5" t="str">
        <f t="shared" si="351"/>
        <v/>
      </c>
      <c r="DQ355" s="5" t="str">
        <f t="shared" si="352"/>
        <v/>
      </c>
      <c r="DR355" s="5">
        <f t="shared" si="353"/>
        <v>0</v>
      </c>
    </row>
    <row r="356" spans="3:122" ht="11.25" customHeight="1" thickBot="1" x14ac:dyDescent="0.25">
      <c r="C356" s="2" t="str">
        <f t="shared" si="339"/>
        <v>Augsburg</v>
      </c>
      <c r="D356" s="3" t="s">
        <v>11</v>
      </c>
      <c r="E356" s="2" t="str">
        <f t="shared" si="340"/>
        <v>Köln</v>
      </c>
      <c r="F356" s="29"/>
      <c r="G356" s="3" t="s">
        <v>12</v>
      </c>
      <c r="H356" s="30"/>
      <c r="I356" s="37"/>
      <c r="J356" s="38" t="str">
        <f t="shared" si="341"/>
        <v/>
      </c>
      <c r="K356" s="37"/>
      <c r="L356" s="38" t="str">
        <f t="shared" si="342"/>
        <v/>
      </c>
      <c r="M356" s="37"/>
      <c r="N356" s="38" t="str">
        <f t="shared" si="343"/>
        <v/>
      </c>
      <c r="O356" s="37"/>
      <c r="P356" s="38" t="str">
        <f t="shared" si="344"/>
        <v/>
      </c>
      <c r="Q356" s="37"/>
      <c r="R356" s="38" t="str">
        <f t="shared" si="345"/>
        <v/>
      </c>
      <c r="S356" s="37"/>
      <c r="T356" s="38" t="str">
        <f t="shared" si="346"/>
        <v/>
      </c>
      <c r="U356" s="37"/>
      <c r="V356" s="38" t="str">
        <f t="shared" si="347"/>
        <v/>
      </c>
      <c r="AF356" s="34"/>
      <c r="AG356" s="34"/>
      <c r="AH356" s="34"/>
      <c r="AI356" s="34"/>
      <c r="AJ356" s="34"/>
      <c r="DG356" s="8" t="str">
        <f t="shared" si="348"/>
        <v/>
      </c>
      <c r="DH356" s="3">
        <f t="shared" si="354"/>
        <v>7</v>
      </c>
      <c r="DN356" s="12">
        <f t="shared" si="349"/>
        <v>0</v>
      </c>
      <c r="DO356" s="5">
        <f t="shared" si="350"/>
        <v>0</v>
      </c>
      <c r="DP356" s="5" t="str">
        <f t="shared" si="351"/>
        <v/>
      </c>
      <c r="DQ356" s="5" t="str">
        <f t="shared" si="352"/>
        <v/>
      </c>
      <c r="DR356" s="5">
        <f t="shared" si="353"/>
        <v>0</v>
      </c>
    </row>
    <row r="357" spans="3:122" ht="11.25" customHeight="1" thickTop="1" x14ac:dyDescent="0.2">
      <c r="C357" s="41">
        <f>(I357+K357+M357+O357+Q357+S357+U357)</f>
        <v>0</v>
      </c>
      <c r="E357" s="42">
        <f>C357/8</f>
        <v>0</v>
      </c>
      <c r="F357" s="41">
        <f>SUM(F348:F356)</f>
        <v>0</v>
      </c>
      <c r="G357" s="2"/>
      <c r="H357" s="43">
        <f>SUM(H348:H356)</f>
        <v>0</v>
      </c>
      <c r="I357" s="44">
        <f>COUNTIF(J348:J356,"&gt;0")</f>
        <v>0</v>
      </c>
      <c r="J357" s="45">
        <f>I357+J342</f>
        <v>0</v>
      </c>
      <c r="K357" s="44">
        <f>COUNTIF(L348:L356,"&gt;0")</f>
        <v>0</v>
      </c>
      <c r="L357" s="45">
        <f>K357+L342</f>
        <v>0</v>
      </c>
      <c r="M357" s="44">
        <f>COUNTIF(N348:N356,"&gt;0")</f>
        <v>0</v>
      </c>
      <c r="N357" s="45">
        <f>M357+N342</f>
        <v>0</v>
      </c>
      <c r="O357" s="44">
        <f>COUNTIF(P348:P356,"&gt;0")</f>
        <v>0</v>
      </c>
      <c r="P357" s="45">
        <f>O357+P342</f>
        <v>0</v>
      </c>
      <c r="Q357" s="44">
        <f>COUNTIF(R348:R356,"&gt;0")</f>
        <v>0</v>
      </c>
      <c r="R357" s="45">
        <f>Q357+R342</f>
        <v>0</v>
      </c>
      <c r="S357" s="44">
        <f>COUNTIF(T348:T356,"&gt;0")</f>
        <v>0</v>
      </c>
      <c r="T357" s="45">
        <f>S357+T342</f>
        <v>0</v>
      </c>
      <c r="U357" s="44">
        <f>COUNTIF(V348:V356,"&gt;0")</f>
        <v>0</v>
      </c>
      <c r="V357" s="45">
        <f>U357+V342</f>
        <v>0</v>
      </c>
      <c r="AF357" s="34"/>
      <c r="AG357" s="34"/>
      <c r="AH357" s="34"/>
      <c r="AI357" s="34"/>
      <c r="AJ357" s="34"/>
    </row>
    <row r="358" spans="3:122" ht="11.25" customHeight="1" x14ac:dyDescent="0.2">
      <c r="C358" s="41">
        <f>(I358+K358+M358+O358+Q358+S358+U358)</f>
        <v>0</v>
      </c>
      <c r="E358" s="42">
        <f>C358/8</f>
        <v>0</v>
      </c>
      <c r="F358" s="137">
        <f>F357+H357</f>
        <v>0</v>
      </c>
      <c r="G358" s="137"/>
      <c r="H358" s="137"/>
      <c r="I358" s="46">
        <f>SUM(J348:J356)</f>
        <v>0</v>
      </c>
      <c r="J358" s="47">
        <f>I358+J343</f>
        <v>0</v>
      </c>
      <c r="K358" s="46">
        <f>SUM(L348:L356)</f>
        <v>0</v>
      </c>
      <c r="L358" s="47">
        <f>K358+L343</f>
        <v>0</v>
      </c>
      <c r="M358" s="46">
        <f>SUM(N348:N356)</f>
        <v>0</v>
      </c>
      <c r="N358" s="47">
        <f>M358+N343</f>
        <v>0</v>
      </c>
      <c r="O358" s="46">
        <f>SUM(P348:P356)</f>
        <v>0</v>
      </c>
      <c r="P358" s="47">
        <f>O358+P343</f>
        <v>0</v>
      </c>
      <c r="Q358" s="46">
        <f>SUM(R348:R356)</f>
        <v>0</v>
      </c>
      <c r="R358" s="47">
        <f>Q358+R343</f>
        <v>0</v>
      </c>
      <c r="S358" s="46">
        <f>SUM(T348:T356)</f>
        <v>0</v>
      </c>
      <c r="T358" s="47">
        <f>S358+T343</f>
        <v>0</v>
      </c>
      <c r="U358" s="46">
        <f>SUM(V348:V356)</f>
        <v>0</v>
      </c>
      <c r="V358" s="47">
        <f>U358+V343</f>
        <v>0</v>
      </c>
      <c r="AF358" s="34"/>
      <c r="AG358" s="34"/>
      <c r="AH358" s="34"/>
      <c r="AI358" s="34"/>
      <c r="AJ358" s="34"/>
    </row>
    <row r="359" spans="3:122" ht="11.25" customHeight="1" thickBot="1" x14ac:dyDescent="0.25">
      <c r="C359" s="41">
        <f>(I359+K359+M359+O359+Q359+S359+U359)</f>
        <v>0</v>
      </c>
      <c r="E359" s="42">
        <f>C359/8</f>
        <v>0</v>
      </c>
      <c r="F359" s="138">
        <f>F358+F344</f>
        <v>0</v>
      </c>
      <c r="G359" s="138"/>
      <c r="H359" s="138"/>
      <c r="I359" s="48">
        <f>I357*I358</f>
        <v>0</v>
      </c>
      <c r="J359" s="49">
        <f>I359+J344</f>
        <v>0</v>
      </c>
      <c r="K359" s="48">
        <f>K357*K358</f>
        <v>0</v>
      </c>
      <c r="L359" s="49">
        <f>K359+L344</f>
        <v>0</v>
      </c>
      <c r="M359" s="48">
        <f>M357*M358</f>
        <v>0</v>
      </c>
      <c r="N359" s="49">
        <f>M359+N344</f>
        <v>0</v>
      </c>
      <c r="O359" s="48">
        <f>O357*O358</f>
        <v>0</v>
      </c>
      <c r="P359" s="49">
        <f>O359+P344</f>
        <v>0</v>
      </c>
      <c r="Q359" s="48">
        <f>Q357*Q358</f>
        <v>0</v>
      </c>
      <c r="R359" s="49">
        <f>Q359+R344</f>
        <v>0</v>
      </c>
      <c r="S359" s="48">
        <f>S357*S358</f>
        <v>0</v>
      </c>
      <c r="T359" s="49">
        <f>S359+T344</f>
        <v>0</v>
      </c>
      <c r="U359" s="48">
        <f>U357*U358</f>
        <v>0</v>
      </c>
      <c r="V359" s="49">
        <f>U359+V344</f>
        <v>0</v>
      </c>
      <c r="AF359" s="34"/>
      <c r="AG359" s="34"/>
      <c r="AH359" s="34"/>
      <c r="AI359" s="34"/>
      <c r="AJ359" s="34"/>
      <c r="AL359" s="5">
        <f>MAX(I359,K359,M359,O359,Q359,S359,U359)</f>
        <v>0</v>
      </c>
      <c r="AM359" s="5">
        <f>MIN(I359,K359,M359,O359,Q359,S359,U359)</f>
        <v>0</v>
      </c>
      <c r="AN359" s="5"/>
      <c r="AO359" s="5"/>
      <c r="AP359" s="5"/>
      <c r="AQ359" s="5"/>
      <c r="AR359" s="5"/>
      <c r="AS359" s="13"/>
      <c r="AT359" s="5"/>
      <c r="AU359" s="5"/>
      <c r="AV359" s="5"/>
      <c r="AW359" s="5"/>
      <c r="AX359" s="5"/>
      <c r="AY359" s="5"/>
      <c r="AZ359" s="5"/>
      <c r="BA359" s="5"/>
      <c r="BB359" s="5"/>
      <c r="BD359" s="5"/>
      <c r="BE359" s="5"/>
      <c r="BF359" s="14"/>
      <c r="BG359" s="13"/>
      <c r="BH359" s="5"/>
      <c r="BI359" s="14"/>
      <c r="BJ359" s="13"/>
      <c r="BK359" s="5"/>
      <c r="BL359" s="14"/>
      <c r="BM359" s="13"/>
      <c r="BN359" s="5"/>
      <c r="BO359" s="14"/>
      <c r="BP359" s="13"/>
      <c r="BQ359" s="5"/>
      <c r="BR359" s="14"/>
      <c r="BS359" s="13"/>
      <c r="BT359" s="5"/>
      <c r="BU359" s="14"/>
      <c r="BV359" s="13"/>
      <c r="BW359" s="5"/>
      <c r="BX359" s="14"/>
      <c r="BY359" s="13"/>
      <c r="BZ359" s="5"/>
      <c r="CA359" s="14"/>
      <c r="CB359" s="13"/>
      <c r="CC359" s="5"/>
      <c r="CD359" s="14"/>
      <c r="CE359" s="13"/>
      <c r="CF359" s="5"/>
      <c r="CG359" s="14"/>
      <c r="CH359" s="13"/>
      <c r="CI359" s="5"/>
      <c r="CJ359" s="14"/>
      <c r="CK359" s="13"/>
      <c r="CL359" s="5"/>
      <c r="CM359" s="14"/>
      <c r="CN359" s="13"/>
      <c r="CO359" s="5"/>
      <c r="CP359" s="14"/>
      <c r="CQ359" s="13"/>
      <c r="CR359" s="5"/>
      <c r="CS359" s="14"/>
      <c r="CT359" s="13"/>
      <c r="CU359" s="5"/>
      <c r="CV359" s="14"/>
      <c r="CW359" s="13"/>
      <c r="CX359" s="5"/>
      <c r="CY359" s="14"/>
      <c r="CZ359" s="13"/>
      <c r="DA359" s="5"/>
      <c r="DB359" s="14"/>
      <c r="DC359" s="13"/>
      <c r="DD359" s="5"/>
      <c r="DE359" s="14"/>
      <c r="DF359" s="5"/>
      <c r="DG359" s="5"/>
      <c r="DH359" s="5"/>
    </row>
    <row r="360" spans="3:122" ht="11.25" customHeight="1" thickTop="1" x14ac:dyDescent="0.2">
      <c r="I360" s="50"/>
      <c r="J360" s="50">
        <f>L359-J359</f>
        <v>0</v>
      </c>
      <c r="K360" s="50"/>
      <c r="L360" s="50"/>
      <c r="M360" s="50"/>
      <c r="N360" s="50">
        <f>L359-N359</f>
        <v>0</v>
      </c>
      <c r="O360" s="50"/>
      <c r="P360" s="50">
        <f>L359-P359</f>
        <v>0</v>
      </c>
      <c r="Q360" s="50"/>
      <c r="R360" s="50">
        <f>L359-R359</f>
        <v>0</v>
      </c>
      <c r="S360" s="50"/>
      <c r="T360" s="50">
        <f>L359-T359</f>
        <v>0</v>
      </c>
      <c r="U360" s="50"/>
      <c r="V360" s="50">
        <f>L359-V359</f>
        <v>0</v>
      </c>
    </row>
    <row r="361" spans="3:122" ht="11.25" customHeight="1" x14ac:dyDescent="0.2">
      <c r="I361" s="139" t="str">
        <f>ß101</f>
        <v>Kropp</v>
      </c>
      <c r="J361" s="139"/>
      <c r="K361" s="139" t="str">
        <f>ß102</f>
        <v>Nörnberg</v>
      </c>
      <c r="L361" s="139"/>
      <c r="M361" s="139" t="str">
        <f>ß103</f>
        <v>Bübel</v>
      </c>
      <c r="N361" s="139"/>
      <c r="O361" s="139" t="str">
        <f>ß104</f>
        <v>Schwicht.</v>
      </c>
      <c r="P361" s="139"/>
      <c r="Q361" s="139" t="str">
        <f>ß105</f>
        <v>Rontzko.</v>
      </c>
      <c r="R361" s="139"/>
      <c r="S361" s="139" t="str">
        <f>ß106</f>
        <v>Hauschildt</v>
      </c>
      <c r="T361" s="139"/>
      <c r="U361" s="139" t="str">
        <f>ß107</f>
        <v>Zerres</v>
      </c>
      <c r="V361" s="139"/>
      <c r="AF361" s="11"/>
      <c r="AG361" s="11"/>
      <c r="AH361" s="11"/>
      <c r="AI361" s="11"/>
      <c r="AJ361" s="11"/>
      <c r="AL361" s="5" t="str">
        <f>IF($I374=$AL374,I361,"x")</f>
        <v>Kropp</v>
      </c>
      <c r="AM361" s="5" t="str">
        <f>IF($K374=$AL374,K361,"x")</f>
        <v>Nörnberg</v>
      </c>
      <c r="AN361" s="5" t="str">
        <f>IF($M374=$AL374,M361,"x")</f>
        <v>Bübel</v>
      </c>
      <c r="AO361" s="5" t="str">
        <f>IF($O374=$AL374,O361,"x")</f>
        <v>Schwicht.</v>
      </c>
      <c r="AP361" s="5" t="str">
        <f>IF($Q374=$AL374,Q361,"x")</f>
        <v>Rontzko.</v>
      </c>
      <c r="AQ361" s="5" t="str">
        <f>IF($S374=$AL374,S361,"x")</f>
        <v>Hauschildt</v>
      </c>
      <c r="AR361" s="5" t="str">
        <f>IF($U374=$AL374,U361,"x")</f>
        <v>Zerres</v>
      </c>
      <c r="AS361" s="13" t="str">
        <f>IF($I374=$AM374,I361,"x")</f>
        <v>Kropp</v>
      </c>
      <c r="AT361" s="5" t="str">
        <f>IF($K374=$AM374,K361,"x")</f>
        <v>Nörnberg</v>
      </c>
      <c r="AU361" s="5" t="str">
        <f>IF($M374=$AM374,M361,"x")</f>
        <v>Bübel</v>
      </c>
      <c r="AV361" s="5" t="str">
        <f>IF($O374=$AM374,O361,"x")</f>
        <v>Schwicht.</v>
      </c>
      <c r="AW361" s="5" t="str">
        <f>IF($Q374=$AM374,Q361,"x")</f>
        <v>Rontzko.</v>
      </c>
      <c r="AX361" s="5" t="str">
        <f>IF($S374=$AM374,S361,"x")</f>
        <v>Hauschildt</v>
      </c>
      <c r="AY361" s="5" t="str">
        <f>IF($U374=$AM374,U361,"x")</f>
        <v>Zerres</v>
      </c>
      <c r="BD361" s="140" t="str">
        <f>ß01</f>
        <v>Bayern</v>
      </c>
      <c r="BE361" s="140"/>
      <c r="BF361" s="140"/>
      <c r="BG361" s="141" t="str">
        <f>ß02</f>
        <v>Leipzig</v>
      </c>
      <c r="BH361" s="141"/>
      <c r="BI361" s="141"/>
      <c r="BJ361" s="141" t="str">
        <f>ß03</f>
        <v>Leverk.</v>
      </c>
      <c r="BK361" s="141"/>
      <c r="BL361" s="141"/>
      <c r="BM361" s="141" t="str">
        <f>ß04</f>
        <v>Hoffenheim</v>
      </c>
      <c r="BN361" s="141"/>
      <c r="BO361" s="141"/>
      <c r="BP361" s="141" t="str">
        <f>ß05</f>
        <v>Frankfurt</v>
      </c>
      <c r="BQ361" s="141"/>
      <c r="BR361" s="141"/>
      <c r="BS361" s="141" t="str">
        <f>ß06</f>
        <v>Werder</v>
      </c>
      <c r="BT361" s="141"/>
      <c r="BU361" s="141"/>
      <c r="BV361" s="141" t="str">
        <f>ß07</f>
        <v>Freiburg</v>
      </c>
      <c r="BW361" s="141"/>
      <c r="BX361" s="141"/>
      <c r="BY361" s="141" t="str">
        <f>ß08</f>
        <v>Augsburg</v>
      </c>
      <c r="BZ361" s="141"/>
      <c r="CA361" s="141"/>
      <c r="CB361" s="141" t="str">
        <f>ß09</f>
        <v>Mainz</v>
      </c>
      <c r="CC361" s="141"/>
      <c r="CD361" s="141"/>
      <c r="CE361" s="141" t="str">
        <f>ß10</f>
        <v>Köln</v>
      </c>
      <c r="CF361" s="141"/>
      <c r="CG361" s="141"/>
      <c r="CH361" s="141" t="str">
        <f>ß11</f>
        <v>M'gladb.</v>
      </c>
      <c r="CI361" s="141"/>
      <c r="CJ361" s="141"/>
      <c r="CK361" s="141" t="str">
        <f>ß12</f>
        <v>HSV</v>
      </c>
      <c r="CL361" s="141"/>
      <c r="CM361" s="141"/>
      <c r="CN361" s="141" t="str">
        <f>ß13</f>
        <v>Union</v>
      </c>
      <c r="CO361" s="141"/>
      <c r="CP361" s="141"/>
      <c r="CQ361" s="141" t="str">
        <f>ß14</f>
        <v>Stuttgart</v>
      </c>
      <c r="CR361" s="141"/>
      <c r="CS361" s="141"/>
      <c r="CT361" s="141" t="str">
        <f>ß15</f>
        <v>St. Pauli</v>
      </c>
      <c r="CU361" s="141"/>
      <c r="CV361" s="141"/>
      <c r="CW361" s="141" t="str">
        <f>ß16</f>
        <v>Dortmund</v>
      </c>
      <c r="CX361" s="141"/>
      <c r="CY361" s="141"/>
      <c r="CZ361" s="141" t="str">
        <f>ß17</f>
        <v>Heidenheim</v>
      </c>
      <c r="DA361" s="141"/>
      <c r="DB361" s="141"/>
      <c r="DC361" s="141" t="str">
        <f>ß18</f>
        <v>Wolfsburg</v>
      </c>
      <c r="DD361" s="141"/>
      <c r="DE361" s="141"/>
    </row>
    <row r="362" spans="3:122" ht="11.25" customHeight="1" x14ac:dyDescent="0.2">
      <c r="C362" s="16" t="str">
        <f>Mannschaften!F25</f>
        <v>25. Spieltag</v>
      </c>
      <c r="D362" s="11"/>
      <c r="E362" s="17" t="str">
        <f>Mannschaften!G25</f>
        <v>6.-8.3.26</v>
      </c>
      <c r="I362" s="19">
        <f>RANK(Rang!A25,Rang!A25:G25)</f>
        <v>1</v>
      </c>
      <c r="J362" s="20">
        <f>RANK(Rang!H25,Rang!H25:N25)</f>
        <v>1</v>
      </c>
      <c r="K362" s="19">
        <f>RANK(Rang!B25,Rang!A25:G25)</f>
        <v>1</v>
      </c>
      <c r="L362" s="20">
        <f>RANK(Rang!I25,Rang!H25:N25)</f>
        <v>1</v>
      </c>
      <c r="M362" s="19">
        <f>RANK(Rang!C25,Rang!A25:G25)</f>
        <v>1</v>
      </c>
      <c r="N362" s="20">
        <f>RANK(Rang!J25,Rang!H25:N25)</f>
        <v>1</v>
      </c>
      <c r="O362" s="19">
        <f>RANK(Rang!D25,Rang!A25:G25)</f>
        <v>1</v>
      </c>
      <c r="P362" s="20">
        <f>RANK(Rang!K25,Rang!H25:N25)</f>
        <v>1</v>
      </c>
      <c r="Q362" s="19">
        <f>RANK(Rang!E25,Rang!A25:G25)</f>
        <v>1</v>
      </c>
      <c r="R362" s="20">
        <f>RANK(Rang!L25,Rang!H25:N25)</f>
        <v>1</v>
      </c>
      <c r="S362" s="19">
        <f>RANK(Rang!F25,Rang!A25:G25)</f>
        <v>1</v>
      </c>
      <c r="T362" s="20">
        <f>RANK(Rang!M25,Rang!H25:N25)</f>
        <v>1</v>
      </c>
      <c r="U362" s="19">
        <f>RANK(Rang!G25,Rang!A25:G25)</f>
        <v>1</v>
      </c>
      <c r="V362" s="20">
        <f>RANK(Rang!N25,Rang!H25:N25)</f>
        <v>1</v>
      </c>
      <c r="AF362" s="22"/>
      <c r="AG362" s="22"/>
      <c r="AH362" s="22"/>
      <c r="AI362" s="22"/>
      <c r="AJ362" s="22"/>
      <c r="AK362" s="21"/>
      <c r="AL362" s="21"/>
      <c r="AM362" s="21"/>
      <c r="AN362" s="21"/>
      <c r="AO362" s="21"/>
      <c r="AP362" s="21"/>
      <c r="AQ362" s="21"/>
      <c r="AR362" s="21"/>
      <c r="AS362" s="24"/>
      <c r="AT362" s="21"/>
      <c r="AU362" s="21"/>
      <c r="AV362" s="21"/>
      <c r="AW362" s="21"/>
      <c r="AX362" s="21"/>
      <c r="AY362" s="21"/>
      <c r="AZ362" s="21"/>
      <c r="BA362" s="21"/>
      <c r="BB362" s="21"/>
      <c r="BD362" s="25" t="s">
        <v>4</v>
      </c>
      <c r="BE362" s="25" t="s">
        <v>5</v>
      </c>
      <c r="BF362" s="26" t="s">
        <v>6</v>
      </c>
      <c r="BG362" s="27" t="s">
        <v>4</v>
      </c>
      <c r="BH362" s="25" t="s">
        <v>5</v>
      </c>
      <c r="BI362" s="26" t="s">
        <v>6</v>
      </c>
      <c r="BJ362" s="27" t="s">
        <v>4</v>
      </c>
      <c r="BK362" s="25" t="s">
        <v>5</v>
      </c>
      <c r="BL362" s="26" t="s">
        <v>6</v>
      </c>
      <c r="BM362" s="27" t="s">
        <v>4</v>
      </c>
      <c r="BN362" s="25" t="s">
        <v>5</v>
      </c>
      <c r="BO362" s="26" t="s">
        <v>6</v>
      </c>
      <c r="BP362" s="27" t="s">
        <v>4</v>
      </c>
      <c r="BQ362" s="25" t="s">
        <v>5</v>
      </c>
      <c r="BR362" s="26" t="s">
        <v>6</v>
      </c>
      <c r="BS362" s="27" t="s">
        <v>4</v>
      </c>
      <c r="BT362" s="25" t="s">
        <v>5</v>
      </c>
      <c r="BU362" s="26" t="s">
        <v>6</v>
      </c>
      <c r="BV362" s="27" t="s">
        <v>4</v>
      </c>
      <c r="BW362" s="25" t="s">
        <v>5</v>
      </c>
      <c r="BX362" s="26" t="s">
        <v>6</v>
      </c>
      <c r="BY362" s="27" t="s">
        <v>4</v>
      </c>
      <c r="BZ362" s="25" t="s">
        <v>5</v>
      </c>
      <c r="CA362" s="26" t="s">
        <v>6</v>
      </c>
      <c r="CB362" s="27" t="s">
        <v>4</v>
      </c>
      <c r="CC362" s="25" t="s">
        <v>5</v>
      </c>
      <c r="CD362" s="26" t="s">
        <v>6</v>
      </c>
      <c r="CE362" s="27" t="s">
        <v>4</v>
      </c>
      <c r="CF362" s="25" t="s">
        <v>5</v>
      </c>
      <c r="CG362" s="26" t="s">
        <v>6</v>
      </c>
      <c r="CH362" s="27" t="s">
        <v>4</v>
      </c>
      <c r="CI362" s="25" t="s">
        <v>5</v>
      </c>
      <c r="CJ362" s="26" t="s">
        <v>6</v>
      </c>
      <c r="CK362" s="27" t="s">
        <v>4</v>
      </c>
      <c r="CL362" s="25" t="s">
        <v>5</v>
      </c>
      <c r="CM362" s="26" t="s">
        <v>6</v>
      </c>
      <c r="CN362" s="27" t="s">
        <v>4</v>
      </c>
      <c r="CO362" s="25" t="s">
        <v>5</v>
      </c>
      <c r="CP362" s="26" t="s">
        <v>6</v>
      </c>
      <c r="CQ362" s="27" t="s">
        <v>4</v>
      </c>
      <c r="CR362" s="25" t="s">
        <v>5</v>
      </c>
      <c r="CS362" s="26" t="s">
        <v>6</v>
      </c>
      <c r="CT362" s="27" t="s">
        <v>4</v>
      </c>
      <c r="CU362" s="25" t="s">
        <v>5</v>
      </c>
      <c r="CV362" s="26" t="s">
        <v>6</v>
      </c>
      <c r="CW362" s="27" t="s">
        <v>4</v>
      </c>
      <c r="CX362" s="25" t="s">
        <v>5</v>
      </c>
      <c r="CY362" s="26" t="s">
        <v>6</v>
      </c>
      <c r="CZ362" s="27" t="s">
        <v>4</v>
      </c>
      <c r="DA362" s="25" t="s">
        <v>5</v>
      </c>
      <c r="DB362" s="26" t="s">
        <v>6</v>
      </c>
      <c r="DC362" s="27" t="s">
        <v>4</v>
      </c>
      <c r="DD362" s="25" t="s">
        <v>5</v>
      </c>
      <c r="DE362" s="26" t="s">
        <v>6</v>
      </c>
      <c r="DF362" s="21"/>
      <c r="DG362" s="21"/>
      <c r="DH362" s="21"/>
      <c r="DN362" s="136" t="s">
        <v>7</v>
      </c>
      <c r="DO362" s="136"/>
      <c r="DP362" s="136" t="s">
        <v>8</v>
      </c>
      <c r="DQ362" s="136"/>
      <c r="DR362" s="28"/>
    </row>
    <row r="363" spans="3:122" ht="11.25" customHeight="1" x14ac:dyDescent="0.2">
      <c r="C363" s="2" t="str">
        <f t="shared" ref="C363:C371" si="355">E108</f>
        <v>Freiburg</v>
      </c>
      <c r="D363" s="3" t="s">
        <v>11</v>
      </c>
      <c r="E363" s="2" t="str">
        <f t="shared" ref="E363:E371" si="356">C108</f>
        <v>Leverk.</v>
      </c>
      <c r="F363" s="29"/>
      <c r="G363" s="3" t="s">
        <v>12</v>
      </c>
      <c r="H363" s="30"/>
      <c r="I363" s="31"/>
      <c r="J363" s="32" t="str">
        <f t="shared" ref="J363:J371" si="357">IF($F363="","",(IF(I363="","",IF(I363=$DG363,(VLOOKUP($DH363,$DJ$3:$DK$11,2,FALSE())),0))))</f>
        <v/>
      </c>
      <c r="K363" s="31"/>
      <c r="L363" s="32" t="str">
        <f t="shared" ref="L363:L371" si="358">IF($F363="","",(IF(K363="","",IF(K363=$DG363,(VLOOKUP($DH363,$DJ$3:$DK$11,2,FALSE())),0))))</f>
        <v/>
      </c>
      <c r="M363" s="31"/>
      <c r="N363" s="32" t="str">
        <f t="shared" ref="N363:N371" si="359">IF($F363="","",(IF(M363="","",IF(M363=$DG363,(VLOOKUP($DH363,$DJ$3:$DK$11,2,FALSE())),0))))</f>
        <v/>
      </c>
      <c r="O363" s="31"/>
      <c r="P363" s="32" t="str">
        <f t="shared" ref="P363:P371" si="360">IF($F363="","",(IF(O363="","",IF(O363=$DG363,(VLOOKUP($DH363,$DJ$3:$DK$11,2,FALSE())),0))))</f>
        <v/>
      </c>
      <c r="Q363" s="31"/>
      <c r="R363" s="32" t="str">
        <f t="shared" ref="R363:R371" si="361">IF($F363="","",(IF(Q363="","",IF(Q363=$DG363,(VLOOKUP($DH363,$DJ$3:$DK$11,2,FALSE())),0))))</f>
        <v/>
      </c>
      <c r="S363" s="31"/>
      <c r="T363" s="32" t="str">
        <f t="shared" ref="T363:T371" si="362">IF($F363="","",(IF(S363="","",IF(S363=$DG363,(VLOOKUP($DH363,$DJ$3:$DK$11,2,FALSE())),0))))</f>
        <v/>
      </c>
      <c r="U363" s="31"/>
      <c r="V363" s="32" t="str">
        <f t="shared" ref="V363:V371" si="363">IF($F363="","",(IF(U363="","",IF(U363=$DG363,(VLOOKUP($DH363,$DJ$3:$DK$11,2,FALSE())),0))))</f>
        <v/>
      </c>
      <c r="AF363" s="34"/>
      <c r="AG363" s="34"/>
      <c r="AH363" s="34"/>
      <c r="AI363" s="34"/>
      <c r="AJ363" s="34"/>
      <c r="AN363" s="5"/>
      <c r="AO363" s="5"/>
      <c r="AP363" s="5"/>
      <c r="AQ363" s="5"/>
      <c r="AR363" s="5"/>
      <c r="AS363" s="13"/>
      <c r="AT363" s="5"/>
      <c r="AU363" s="5"/>
      <c r="AV363" s="5"/>
      <c r="AW363" s="5"/>
      <c r="AX363" s="5"/>
      <c r="AY363" s="5"/>
      <c r="BC363" s="6">
        <v>362</v>
      </c>
      <c r="BD363" s="35">
        <f>IF(ISERROR(MATCH(ß01,$C363:$C371,0)),"",MATCH(ß01,$C363:$C371,0))</f>
        <v>6</v>
      </c>
      <c r="BE363" s="35" t="str">
        <f>IF(ISERROR(MATCH(ß01,$E363:$E371,0)),"",MATCH(ß01,$E363:$E371,0))</f>
        <v/>
      </c>
      <c r="BF363" s="15">
        <f>SUM(BD363:BE363)+BC363</f>
        <v>368</v>
      </c>
      <c r="BG363" s="36">
        <f>IF(ISERROR(MATCH(ß02,$C363:$C371,0)),"",MATCH(ß02,$C363:$C371,0))</f>
        <v>7</v>
      </c>
      <c r="BH363" s="35" t="str">
        <f>IF(ISERROR(MATCH(ß02,$E363:$E371,0)),"",MATCH(ß02,$E363:$E371,0))</f>
        <v/>
      </c>
      <c r="BI363" s="15">
        <f>SUM(BG363:BH363)+BC363</f>
        <v>369</v>
      </c>
      <c r="BJ363" s="36" t="str">
        <f>IF(ISERROR(MATCH(ß03,$C363:$C371,0)),"",MATCH(ß03,$C363:$C371,0))</f>
        <v/>
      </c>
      <c r="BK363" s="35">
        <f>IF(ISERROR(MATCH(ß03,$E363:$E371,0)),"",MATCH(ß03,$E363:$E371,0))</f>
        <v>1</v>
      </c>
      <c r="BL363" s="15">
        <f>SUM(BJ363:BK363)+BC363</f>
        <v>363</v>
      </c>
      <c r="BM363" s="36" t="str">
        <f>IF(ISERROR(MATCH(ß04,$C363:$C371,0)),"",MATCH(ß04,$C363:$C371,0))</f>
        <v/>
      </c>
      <c r="BN363" s="35">
        <f>IF(ISERROR(MATCH(ß04,$E363:$E371,0)),"",MATCH(ß04,$E363:$E371,0))</f>
        <v>8</v>
      </c>
      <c r="BO363" s="15">
        <f>SUM(BM363:BN363)+BC363</f>
        <v>370</v>
      </c>
      <c r="BP363" s="36" t="str">
        <f>IF(ISERROR(MATCH(ß05,$C363:$C371,0)),"",MATCH(ß05,$C363:$C371,0))</f>
        <v/>
      </c>
      <c r="BQ363" s="35">
        <f>IF(ISERROR(MATCH(ß05,$E363:$E371,0)),"",MATCH(ß05,$E363:$E371,0))</f>
        <v>2</v>
      </c>
      <c r="BR363" s="15">
        <f>SUM(BP363:BQ363)+BC363</f>
        <v>364</v>
      </c>
      <c r="BS363" s="36" t="str">
        <f>IF(ISERROR(MATCH(ß06,$C363:$C371,0)),"",MATCH(ß06,$C363:$C371,0))</f>
        <v/>
      </c>
      <c r="BT363" s="35">
        <f>IF(ISERROR(MATCH(ß06,$E363:$E371,0)),"",MATCH(ß06,$E363:$E371,0))</f>
        <v>4</v>
      </c>
      <c r="BU363" s="15">
        <f>SUM(BS363:BT363)+BC363</f>
        <v>366</v>
      </c>
      <c r="BV363" s="36">
        <f>IF(ISERROR(MATCH(ß07,$C363:$C371,0)),"",MATCH(ß07,$C363:$C371,0))</f>
        <v>1</v>
      </c>
      <c r="BW363" s="35" t="str">
        <f>IF(ISERROR(MATCH(ß07,$E363:$E371,0)),"",MATCH(ß07,$E363:$E371,0))</f>
        <v/>
      </c>
      <c r="BX363" s="15">
        <f>SUM(BV363:BW363)+BC363</f>
        <v>363</v>
      </c>
      <c r="BY363" s="36" t="str">
        <f>IF(ISERROR(MATCH(ß08,$C363:$C371,0)),"",MATCH(ß08,$C363:$C371,0))</f>
        <v/>
      </c>
      <c r="BZ363" s="35">
        <f>IF(ISERROR(MATCH(ß08,$E363:$E371,0)),"",MATCH(ß08,$E363:$E371,0))</f>
        <v>7</v>
      </c>
      <c r="CA363" s="15">
        <f>SUM(BY363:BZ363)+BC363</f>
        <v>369</v>
      </c>
      <c r="CB363" s="36">
        <f>IF(ISERROR(MATCH(ß09,$C363:$C371,0)),"",MATCH(ß09,$C363:$C371,0))</f>
        <v>5</v>
      </c>
      <c r="CC363" s="35" t="str">
        <f>IF(ISERROR(MATCH(ß09,$E363:$E371,0)),"",MATCH(ß09,$E363:$E371,0))</f>
        <v/>
      </c>
      <c r="CD363" s="15">
        <f>SUM(CB363:CC363)+BC363</f>
        <v>367</v>
      </c>
      <c r="CE363" s="36">
        <f>IF(ISERROR(MATCH(ß10,$C363:$C371,0)),"",MATCH(ß10,$C363:$C371,0))</f>
        <v>3</v>
      </c>
      <c r="CF363" s="35" t="str">
        <f>IF(ISERROR(MATCH(ß10,$E363:$E371,0)),"",MATCH(ß10,$E363:$E371,0))</f>
        <v/>
      </c>
      <c r="CG363" s="15">
        <f>SUM(CE363:CF363)+BC363</f>
        <v>365</v>
      </c>
      <c r="CH363" s="36" t="str">
        <f>IF(ISERROR(MATCH(ß11,$C363:$C371,0)),"",MATCH(ß11,$C363:$C371,0))</f>
        <v/>
      </c>
      <c r="CI363" s="35">
        <f>IF(ISERROR(MATCH(ß11,$E363:$E371,0)),"",MATCH(ß11,$E363:$E371,0))</f>
        <v>6</v>
      </c>
      <c r="CJ363" s="15">
        <f>SUM(CH363:CI363)+BC363</f>
        <v>368</v>
      </c>
      <c r="CK363" s="36" t="str">
        <f>IF(ISERROR(MATCH(ß12,$C363:$C371,0)),"",MATCH(ß12,$C363:$C371,0))</f>
        <v/>
      </c>
      <c r="CL363" s="35">
        <f>IF(ISERROR(MATCH(ß12,$E363:$E371,0)),"",MATCH(ß12,$E363:$E371,0))</f>
        <v>9</v>
      </c>
      <c r="CM363" s="15">
        <f>SUM(CK363:CL363)+BC363</f>
        <v>371</v>
      </c>
      <c r="CN363" s="36">
        <f>IF(ISERROR(MATCH(ß13,$C363:$C371,0)),"",MATCH(ß13,$C363:$C371,0))</f>
        <v>4</v>
      </c>
      <c r="CO363" s="35" t="str">
        <f>IF(ISERROR(MATCH(ß13,$E363:$E371,0)),"",MATCH(ß13,$E363:$E371,0))</f>
        <v/>
      </c>
      <c r="CP363" s="15">
        <f>SUM(CN363:CO363)+BC363</f>
        <v>366</v>
      </c>
      <c r="CQ363" s="36" t="str">
        <f>IF(ISERROR(MATCH(ß14,$C363:$C371,0)),"",MATCH(ß14,$C363:$C371,0))</f>
        <v/>
      </c>
      <c r="CR363" s="35">
        <f>IF(ISERROR(MATCH(ß14,$E363:$E371,0)),"",MATCH(ß14,$E363:$E371,0))</f>
        <v>5</v>
      </c>
      <c r="CS363" s="15">
        <f>SUM(CQ363:CR363)+BC363</f>
        <v>367</v>
      </c>
      <c r="CT363" s="36">
        <f>IF(ISERROR(MATCH(ß15,$C363:$C371,0)),"",MATCH(ß15,$C363:$C371,0))</f>
        <v>2</v>
      </c>
      <c r="CU363" s="35" t="str">
        <f>IF(ISERROR(MATCH(ß15,$E363:$E371,0)),"",MATCH(ß15,$E363:$E371,0))</f>
        <v/>
      </c>
      <c r="CV363" s="15">
        <f>SUM(CT363:CU363)+BC363</f>
        <v>364</v>
      </c>
      <c r="CW363" s="36" t="str">
        <f>IF(ISERROR(MATCH(ß16,$C363:$C371,0)),"",MATCH(ß16,$C363:$C371,0))</f>
        <v/>
      </c>
      <c r="CX363" s="35">
        <f>IF(ISERROR(MATCH(ß16,$E363:$E371,0)),"",MATCH(ß16,$E363:$E371,0))</f>
        <v>3</v>
      </c>
      <c r="CY363" s="15">
        <f>SUM(CW363:CX363)+BC363</f>
        <v>365</v>
      </c>
      <c r="CZ363" s="36">
        <f>IF(ISERROR(MATCH(ß17,$C363:$C371,0)),"",MATCH(ß17,$C363:$C371,0))</f>
        <v>8</v>
      </c>
      <c r="DA363" s="35" t="str">
        <f>IF(ISERROR(MATCH(ß17,$E363:$E371,0)),"",MATCH(ß17,$E363:$E371,0))</f>
        <v/>
      </c>
      <c r="DB363" s="15">
        <f>SUM(CZ363:DA363)+BC363</f>
        <v>370</v>
      </c>
      <c r="DC363" s="36">
        <f>IF(ISERROR(MATCH(ß18,$C363:$C371,0)),"",MATCH(ß18,$C363:$C371,0))</f>
        <v>9</v>
      </c>
      <c r="DD363" s="35" t="str">
        <f>IF(ISERROR(MATCH(ß18,$E363:$E371,0)),"",MATCH(ß18,$E363:$E371,0))</f>
        <v/>
      </c>
      <c r="DE363" s="15">
        <f>SUM(DC363:DD363)+BC363</f>
        <v>371</v>
      </c>
      <c r="DG363" s="8" t="str">
        <f t="shared" ref="DG363:DG371" si="364">IF(F363="","",(IF(F363=H363,0,IF(F363&gt;H363,1,IF(F363&lt;H363,2)))))</f>
        <v/>
      </c>
      <c r="DH363" s="3">
        <f>COUNTIF(I363,DG363)+COUNTIF(K363,DG363)+COUNTIF(M363,DG363)+COUNTIF(O363,DG363)+COUNTIF(Q363,DG363)+COUNTIF(S363,DG363)+COUNTIF(U363,DG363)</f>
        <v>7</v>
      </c>
      <c r="DN363" s="12">
        <f t="shared" ref="DN363:DN371" si="365">F363</f>
        <v>0</v>
      </c>
      <c r="DO363" s="5">
        <f t="shared" ref="DO363:DO371" si="366">H363</f>
        <v>0</v>
      </c>
      <c r="DP363" s="5" t="str">
        <f t="shared" ref="DP363:DP371" si="367">IF($F363="","",IF(DN363&gt;DO363,3,IF(DN363&lt;DO363,0,1)))</f>
        <v/>
      </c>
      <c r="DQ363" s="5" t="str">
        <f t="shared" ref="DQ363:DQ371" si="368">IF($H363="","",IF(DO363&gt;DN363,3,IF(DO363&lt;DN363,0,1)))</f>
        <v/>
      </c>
      <c r="DR363" s="5">
        <f t="shared" ref="DR363:DR371" si="369">IF(ISBLANK(F363),0,1)</f>
        <v>0</v>
      </c>
    </row>
    <row r="364" spans="3:122" ht="11.25" customHeight="1" x14ac:dyDescent="0.2">
      <c r="C364" s="2" t="str">
        <f t="shared" si="355"/>
        <v>St. Pauli</v>
      </c>
      <c r="D364" s="3" t="s">
        <v>11</v>
      </c>
      <c r="E364" s="2" t="str">
        <f t="shared" si="356"/>
        <v>Frankfurt</v>
      </c>
      <c r="F364" s="29"/>
      <c r="G364" s="3" t="s">
        <v>12</v>
      </c>
      <c r="H364" s="30"/>
      <c r="I364" s="37"/>
      <c r="J364" s="38" t="str">
        <f t="shared" si="357"/>
        <v/>
      </c>
      <c r="K364" s="37"/>
      <c r="L364" s="38" t="str">
        <f t="shared" si="358"/>
        <v/>
      </c>
      <c r="M364" s="37"/>
      <c r="N364" s="38" t="str">
        <f t="shared" si="359"/>
        <v/>
      </c>
      <c r="O364" s="37"/>
      <c r="P364" s="38" t="str">
        <f t="shared" si="360"/>
        <v/>
      </c>
      <c r="Q364" s="37"/>
      <c r="R364" s="38" t="str">
        <f t="shared" si="361"/>
        <v/>
      </c>
      <c r="S364" s="37"/>
      <c r="T364" s="38" t="str">
        <f t="shared" si="362"/>
        <v/>
      </c>
      <c r="U364" s="37"/>
      <c r="V364" s="38" t="str">
        <f t="shared" si="363"/>
        <v/>
      </c>
      <c r="AF364" s="34"/>
      <c r="AG364" s="34"/>
      <c r="AH364" s="34"/>
      <c r="AI364" s="34"/>
      <c r="AJ364" s="34"/>
      <c r="DG364" s="8" t="str">
        <f t="shared" si="364"/>
        <v/>
      </c>
      <c r="DH364" s="3">
        <f t="shared" ref="DH364:DH371" si="370">COUNTIF(I364,DG364)+COUNTIF(K364,DG364)+COUNTIF(M364,DG364)+COUNTIF(O364,DG364)+COUNTIF(Q364,DG364)+COUNTIF(S364,DG364)+COUNTIF(U364,DG364)</f>
        <v>7</v>
      </c>
      <c r="DN364" s="12">
        <f t="shared" si="365"/>
        <v>0</v>
      </c>
      <c r="DO364" s="5">
        <f t="shared" si="366"/>
        <v>0</v>
      </c>
      <c r="DP364" s="5" t="str">
        <f t="shared" si="367"/>
        <v/>
      </c>
      <c r="DQ364" s="5" t="str">
        <f t="shared" si="368"/>
        <v/>
      </c>
      <c r="DR364" s="5">
        <f t="shared" si="369"/>
        <v>0</v>
      </c>
    </row>
    <row r="365" spans="3:122" ht="11.25" customHeight="1" x14ac:dyDescent="0.2">
      <c r="C365" s="2" t="str">
        <f t="shared" si="355"/>
        <v>Köln</v>
      </c>
      <c r="D365" s="3" t="s">
        <v>11</v>
      </c>
      <c r="E365" s="2" t="str">
        <f t="shared" si="356"/>
        <v>Dortmund</v>
      </c>
      <c r="F365" s="29"/>
      <c r="G365" s="3" t="s">
        <v>12</v>
      </c>
      <c r="H365" s="30"/>
      <c r="I365" s="37"/>
      <c r="J365" s="38" t="str">
        <f t="shared" si="357"/>
        <v/>
      </c>
      <c r="K365" s="37"/>
      <c r="L365" s="38" t="str">
        <f t="shared" si="358"/>
        <v/>
      </c>
      <c r="M365" s="37"/>
      <c r="N365" s="38" t="str">
        <f t="shared" si="359"/>
        <v/>
      </c>
      <c r="O365" s="37"/>
      <c r="P365" s="38" t="str">
        <f t="shared" si="360"/>
        <v/>
      </c>
      <c r="Q365" s="37"/>
      <c r="R365" s="38" t="str">
        <f t="shared" si="361"/>
        <v/>
      </c>
      <c r="S365" s="37"/>
      <c r="T365" s="38" t="str">
        <f t="shared" si="362"/>
        <v/>
      </c>
      <c r="U365" s="37"/>
      <c r="V365" s="38" t="str">
        <f t="shared" si="363"/>
        <v/>
      </c>
      <c r="AF365" s="34"/>
      <c r="AG365" s="34"/>
      <c r="AH365" s="34"/>
      <c r="AI365" s="34"/>
      <c r="AJ365" s="34"/>
      <c r="DG365" s="8" t="str">
        <f t="shared" si="364"/>
        <v/>
      </c>
      <c r="DH365" s="3">
        <f t="shared" si="370"/>
        <v>7</v>
      </c>
      <c r="DN365" s="12">
        <f t="shared" si="365"/>
        <v>0</v>
      </c>
      <c r="DO365" s="5">
        <f t="shared" si="366"/>
        <v>0</v>
      </c>
      <c r="DP365" s="5" t="str">
        <f t="shared" si="367"/>
        <v/>
      </c>
      <c r="DQ365" s="5" t="str">
        <f t="shared" si="368"/>
        <v/>
      </c>
      <c r="DR365" s="5">
        <f t="shared" si="369"/>
        <v>0</v>
      </c>
    </row>
    <row r="366" spans="3:122" ht="11.25" customHeight="1" x14ac:dyDescent="0.2">
      <c r="C366" s="2" t="str">
        <f t="shared" si="355"/>
        <v>Union</v>
      </c>
      <c r="D366" s="3" t="s">
        <v>11</v>
      </c>
      <c r="E366" s="2" t="str">
        <f t="shared" si="356"/>
        <v>Werder</v>
      </c>
      <c r="F366" s="29"/>
      <c r="G366" s="3" t="s">
        <v>12</v>
      </c>
      <c r="H366" s="30"/>
      <c r="I366" s="37"/>
      <c r="J366" s="38" t="str">
        <f t="shared" si="357"/>
        <v/>
      </c>
      <c r="K366" s="37"/>
      <c r="L366" s="38" t="str">
        <f t="shared" si="358"/>
        <v/>
      </c>
      <c r="M366" s="37"/>
      <c r="N366" s="38" t="str">
        <f t="shared" si="359"/>
        <v/>
      </c>
      <c r="O366" s="37"/>
      <c r="P366" s="38" t="str">
        <f t="shared" si="360"/>
        <v/>
      </c>
      <c r="Q366" s="37"/>
      <c r="R366" s="38" t="str">
        <f t="shared" si="361"/>
        <v/>
      </c>
      <c r="S366" s="37"/>
      <c r="T366" s="38" t="str">
        <f t="shared" si="362"/>
        <v/>
      </c>
      <c r="U366" s="37"/>
      <c r="V366" s="38" t="str">
        <f t="shared" si="363"/>
        <v/>
      </c>
      <c r="AF366" s="34"/>
      <c r="AG366" s="34"/>
      <c r="AH366" s="34"/>
      <c r="AI366" s="34"/>
      <c r="AJ366" s="34"/>
      <c r="CM366" s="6" t="s">
        <v>31</v>
      </c>
      <c r="DG366" s="8" t="str">
        <f t="shared" si="364"/>
        <v/>
      </c>
      <c r="DH366" s="3">
        <f t="shared" si="370"/>
        <v>7</v>
      </c>
      <c r="DN366" s="12">
        <f t="shared" si="365"/>
        <v>0</v>
      </c>
      <c r="DO366" s="5">
        <f t="shared" si="366"/>
        <v>0</v>
      </c>
      <c r="DP366" s="5" t="str">
        <f t="shared" si="367"/>
        <v/>
      </c>
      <c r="DQ366" s="5" t="str">
        <f t="shared" si="368"/>
        <v/>
      </c>
      <c r="DR366" s="5">
        <f t="shared" si="369"/>
        <v>0</v>
      </c>
    </row>
    <row r="367" spans="3:122" ht="11.25" customHeight="1" x14ac:dyDescent="0.2">
      <c r="C367" s="2" t="str">
        <f t="shared" si="355"/>
        <v>Mainz</v>
      </c>
      <c r="D367" s="3" t="s">
        <v>11</v>
      </c>
      <c r="E367" s="2" t="str">
        <f t="shared" si="356"/>
        <v>Stuttgart</v>
      </c>
      <c r="F367" s="29"/>
      <c r="G367" s="3" t="s">
        <v>12</v>
      </c>
      <c r="H367" s="30"/>
      <c r="I367" s="37"/>
      <c r="J367" s="38" t="str">
        <f t="shared" si="357"/>
        <v/>
      </c>
      <c r="K367" s="37"/>
      <c r="L367" s="38" t="str">
        <f t="shared" si="358"/>
        <v/>
      </c>
      <c r="M367" s="37"/>
      <c r="N367" s="38" t="str">
        <f t="shared" si="359"/>
        <v/>
      </c>
      <c r="O367" s="37"/>
      <c r="P367" s="38" t="str">
        <f t="shared" si="360"/>
        <v/>
      </c>
      <c r="Q367" s="37"/>
      <c r="R367" s="38" t="str">
        <f t="shared" si="361"/>
        <v/>
      </c>
      <c r="S367" s="37"/>
      <c r="T367" s="38" t="str">
        <f t="shared" si="362"/>
        <v/>
      </c>
      <c r="U367" s="37"/>
      <c r="V367" s="38" t="str">
        <f t="shared" si="363"/>
        <v/>
      </c>
      <c r="AF367" s="34"/>
      <c r="AG367" s="34"/>
      <c r="AH367" s="34"/>
      <c r="AI367" s="34"/>
      <c r="AJ367" s="34"/>
      <c r="DG367" s="8" t="str">
        <f t="shared" si="364"/>
        <v/>
      </c>
      <c r="DH367" s="3">
        <f t="shared" si="370"/>
        <v>7</v>
      </c>
      <c r="DN367" s="12">
        <f t="shared" si="365"/>
        <v>0</v>
      </c>
      <c r="DO367" s="5">
        <f t="shared" si="366"/>
        <v>0</v>
      </c>
      <c r="DP367" s="5" t="str">
        <f t="shared" si="367"/>
        <v/>
      </c>
      <c r="DQ367" s="5" t="str">
        <f t="shared" si="368"/>
        <v/>
      </c>
      <c r="DR367" s="5">
        <f t="shared" si="369"/>
        <v>0</v>
      </c>
    </row>
    <row r="368" spans="3:122" ht="11.25" customHeight="1" x14ac:dyDescent="0.2">
      <c r="C368" s="2" t="str">
        <f t="shared" si="355"/>
        <v>Bayern</v>
      </c>
      <c r="D368" s="3" t="s">
        <v>11</v>
      </c>
      <c r="E368" s="2" t="str">
        <f t="shared" si="356"/>
        <v>M'gladb.</v>
      </c>
      <c r="F368" s="29"/>
      <c r="G368" s="3" t="s">
        <v>12</v>
      </c>
      <c r="H368" s="30"/>
      <c r="I368" s="37"/>
      <c r="J368" s="38" t="str">
        <f t="shared" si="357"/>
        <v/>
      </c>
      <c r="K368" s="37"/>
      <c r="L368" s="38" t="str">
        <f t="shared" si="358"/>
        <v/>
      </c>
      <c r="M368" s="37"/>
      <c r="N368" s="38" t="str">
        <f t="shared" si="359"/>
        <v/>
      </c>
      <c r="O368" s="37"/>
      <c r="P368" s="38" t="str">
        <f t="shared" si="360"/>
        <v/>
      </c>
      <c r="Q368" s="37"/>
      <c r="R368" s="38" t="str">
        <f t="shared" si="361"/>
        <v/>
      </c>
      <c r="S368" s="37"/>
      <c r="T368" s="38" t="str">
        <f t="shared" si="362"/>
        <v/>
      </c>
      <c r="U368" s="37"/>
      <c r="V368" s="38" t="str">
        <f t="shared" si="363"/>
        <v/>
      </c>
      <c r="AF368" s="34"/>
      <c r="AG368" s="34"/>
      <c r="AH368" s="34"/>
      <c r="AI368" s="34"/>
      <c r="AJ368" s="34"/>
      <c r="DG368" s="8" t="str">
        <f t="shared" si="364"/>
        <v/>
      </c>
      <c r="DH368" s="3">
        <f t="shared" si="370"/>
        <v>7</v>
      </c>
      <c r="DN368" s="12">
        <f t="shared" si="365"/>
        <v>0</v>
      </c>
      <c r="DO368" s="5">
        <f t="shared" si="366"/>
        <v>0</v>
      </c>
      <c r="DP368" s="5" t="str">
        <f t="shared" si="367"/>
        <v/>
      </c>
      <c r="DQ368" s="5" t="str">
        <f t="shared" si="368"/>
        <v/>
      </c>
      <c r="DR368" s="5">
        <f t="shared" si="369"/>
        <v>0</v>
      </c>
    </row>
    <row r="369" spans="3:122" ht="11.25" customHeight="1" x14ac:dyDescent="0.2">
      <c r="C369" s="2" t="str">
        <f t="shared" si="355"/>
        <v>Leipzig</v>
      </c>
      <c r="D369" s="3" t="s">
        <v>11</v>
      </c>
      <c r="E369" s="2" t="str">
        <f t="shared" si="356"/>
        <v>Augsburg</v>
      </c>
      <c r="F369" s="29"/>
      <c r="G369" s="3" t="s">
        <v>12</v>
      </c>
      <c r="H369" s="30"/>
      <c r="I369" s="37"/>
      <c r="J369" s="38" t="str">
        <f t="shared" si="357"/>
        <v/>
      </c>
      <c r="K369" s="37"/>
      <c r="L369" s="38" t="str">
        <f t="shared" si="358"/>
        <v/>
      </c>
      <c r="M369" s="37"/>
      <c r="N369" s="38" t="str">
        <f t="shared" si="359"/>
        <v/>
      </c>
      <c r="O369" s="37"/>
      <c r="P369" s="38" t="str">
        <f t="shared" si="360"/>
        <v/>
      </c>
      <c r="Q369" s="37"/>
      <c r="R369" s="38" t="str">
        <f t="shared" si="361"/>
        <v/>
      </c>
      <c r="S369" s="37"/>
      <c r="T369" s="38" t="str">
        <f t="shared" si="362"/>
        <v/>
      </c>
      <c r="U369" s="37"/>
      <c r="V369" s="38" t="str">
        <f t="shared" si="363"/>
        <v/>
      </c>
      <c r="AF369" s="34"/>
      <c r="AG369" s="34"/>
      <c r="AH369" s="34"/>
      <c r="AI369" s="34"/>
      <c r="AJ369" s="34"/>
      <c r="DG369" s="8" t="str">
        <f t="shared" si="364"/>
        <v/>
      </c>
      <c r="DH369" s="3">
        <f t="shared" si="370"/>
        <v>7</v>
      </c>
      <c r="DN369" s="12">
        <f t="shared" si="365"/>
        <v>0</v>
      </c>
      <c r="DO369" s="5">
        <f t="shared" si="366"/>
        <v>0</v>
      </c>
      <c r="DP369" s="5" t="str">
        <f t="shared" si="367"/>
        <v/>
      </c>
      <c r="DQ369" s="5" t="str">
        <f t="shared" si="368"/>
        <v/>
      </c>
      <c r="DR369" s="5">
        <f t="shared" si="369"/>
        <v>0</v>
      </c>
    </row>
    <row r="370" spans="3:122" ht="11.25" customHeight="1" x14ac:dyDescent="0.2">
      <c r="C370" s="2" t="str">
        <f t="shared" si="355"/>
        <v>Heidenheim</v>
      </c>
      <c r="D370" s="3" t="s">
        <v>11</v>
      </c>
      <c r="E370" s="2" t="str">
        <f t="shared" si="356"/>
        <v>Hoffenheim</v>
      </c>
      <c r="F370" s="29"/>
      <c r="G370" s="3" t="s">
        <v>12</v>
      </c>
      <c r="H370" s="30"/>
      <c r="I370" s="37"/>
      <c r="J370" s="38" t="str">
        <f t="shared" si="357"/>
        <v/>
      </c>
      <c r="K370" s="37"/>
      <c r="L370" s="38" t="str">
        <f t="shared" si="358"/>
        <v/>
      </c>
      <c r="M370" s="37"/>
      <c r="N370" s="38" t="str">
        <f t="shared" si="359"/>
        <v/>
      </c>
      <c r="O370" s="37"/>
      <c r="P370" s="38" t="str">
        <f t="shared" si="360"/>
        <v/>
      </c>
      <c r="Q370" s="37"/>
      <c r="R370" s="38" t="str">
        <f t="shared" si="361"/>
        <v/>
      </c>
      <c r="S370" s="37"/>
      <c r="T370" s="38" t="str">
        <f t="shared" si="362"/>
        <v/>
      </c>
      <c r="U370" s="37"/>
      <c r="V370" s="38" t="str">
        <f t="shared" si="363"/>
        <v/>
      </c>
      <c r="AF370" s="34"/>
      <c r="AG370" s="34"/>
      <c r="AH370" s="34"/>
      <c r="AI370" s="34"/>
      <c r="AJ370" s="34"/>
      <c r="DG370" s="8" t="str">
        <f t="shared" si="364"/>
        <v/>
      </c>
      <c r="DH370" s="3">
        <f t="shared" si="370"/>
        <v>7</v>
      </c>
      <c r="DN370" s="12">
        <f t="shared" si="365"/>
        <v>0</v>
      </c>
      <c r="DO370" s="5">
        <f t="shared" si="366"/>
        <v>0</v>
      </c>
      <c r="DP370" s="5" t="str">
        <f t="shared" si="367"/>
        <v/>
      </c>
      <c r="DQ370" s="5" t="str">
        <f t="shared" si="368"/>
        <v/>
      </c>
      <c r="DR370" s="5">
        <f t="shared" si="369"/>
        <v>0</v>
      </c>
    </row>
    <row r="371" spans="3:122" ht="11.25" customHeight="1" thickBot="1" x14ac:dyDescent="0.25">
      <c r="C371" s="2" t="str">
        <f t="shared" si="355"/>
        <v>Wolfsburg</v>
      </c>
      <c r="D371" s="3" t="s">
        <v>11</v>
      </c>
      <c r="E371" s="2" t="str">
        <f t="shared" si="356"/>
        <v>HSV</v>
      </c>
      <c r="F371" s="29"/>
      <c r="G371" s="3" t="s">
        <v>12</v>
      </c>
      <c r="H371" s="30"/>
      <c r="I371" s="37"/>
      <c r="J371" s="38" t="str">
        <f t="shared" si="357"/>
        <v/>
      </c>
      <c r="K371" s="37"/>
      <c r="L371" s="38" t="str">
        <f t="shared" si="358"/>
        <v/>
      </c>
      <c r="M371" s="37"/>
      <c r="N371" s="38" t="str">
        <f t="shared" si="359"/>
        <v/>
      </c>
      <c r="O371" s="37"/>
      <c r="P371" s="38" t="str">
        <f t="shared" si="360"/>
        <v/>
      </c>
      <c r="Q371" s="37"/>
      <c r="R371" s="38" t="str">
        <f t="shared" si="361"/>
        <v/>
      </c>
      <c r="S371" s="37"/>
      <c r="T371" s="38" t="str">
        <f t="shared" si="362"/>
        <v/>
      </c>
      <c r="U371" s="37"/>
      <c r="V371" s="38" t="str">
        <f t="shared" si="363"/>
        <v/>
      </c>
      <c r="AF371" s="34"/>
      <c r="AG371" s="34"/>
      <c r="AH371" s="34"/>
      <c r="AI371" s="34"/>
      <c r="AJ371" s="34"/>
      <c r="DG371" s="8" t="str">
        <f t="shared" si="364"/>
        <v/>
      </c>
      <c r="DH371" s="3">
        <f t="shared" si="370"/>
        <v>7</v>
      </c>
      <c r="DN371" s="12">
        <f t="shared" si="365"/>
        <v>0</v>
      </c>
      <c r="DO371" s="5">
        <f t="shared" si="366"/>
        <v>0</v>
      </c>
      <c r="DP371" s="5" t="str">
        <f t="shared" si="367"/>
        <v/>
      </c>
      <c r="DQ371" s="5" t="str">
        <f t="shared" si="368"/>
        <v/>
      </c>
      <c r="DR371" s="5">
        <f t="shared" si="369"/>
        <v>0</v>
      </c>
    </row>
    <row r="372" spans="3:122" ht="11.25" customHeight="1" thickTop="1" x14ac:dyDescent="0.2">
      <c r="C372" s="41">
        <f>(I372+K372+M372+O372+Q372+S372+U372)</f>
        <v>0</v>
      </c>
      <c r="E372" s="42">
        <f>C372/8</f>
        <v>0</v>
      </c>
      <c r="F372" s="41">
        <f>SUM(F363:F371)</f>
        <v>0</v>
      </c>
      <c r="G372" s="2"/>
      <c r="H372" s="43">
        <f>SUM(H363:H371)</f>
        <v>0</v>
      </c>
      <c r="I372" s="44">
        <f>COUNTIF(J363:J371,"&gt;0")</f>
        <v>0</v>
      </c>
      <c r="J372" s="45">
        <f>I372+J357</f>
        <v>0</v>
      </c>
      <c r="K372" s="44">
        <f>COUNTIF(L363:L371,"&gt;0")</f>
        <v>0</v>
      </c>
      <c r="L372" s="45">
        <f>K372+L357</f>
        <v>0</v>
      </c>
      <c r="M372" s="44">
        <f>COUNTIF(N363:N371,"&gt;0")</f>
        <v>0</v>
      </c>
      <c r="N372" s="45">
        <f>M372+N357</f>
        <v>0</v>
      </c>
      <c r="O372" s="44">
        <f>COUNTIF(P363:P371,"&gt;0")</f>
        <v>0</v>
      </c>
      <c r="P372" s="45">
        <f>O372+P357</f>
        <v>0</v>
      </c>
      <c r="Q372" s="44">
        <f>COUNTIF(R363:R371,"&gt;0")</f>
        <v>0</v>
      </c>
      <c r="R372" s="45">
        <f>Q372+R357</f>
        <v>0</v>
      </c>
      <c r="S372" s="44">
        <f>COUNTIF(T363:T371,"&gt;0")</f>
        <v>0</v>
      </c>
      <c r="T372" s="45">
        <f>S372+T357</f>
        <v>0</v>
      </c>
      <c r="U372" s="44">
        <f>COUNTIF(V363:V371,"&gt;0")</f>
        <v>0</v>
      </c>
      <c r="V372" s="45">
        <f>U372+V357</f>
        <v>0</v>
      </c>
      <c r="AF372" s="34"/>
      <c r="AG372" s="34"/>
      <c r="AH372" s="34"/>
      <c r="AI372" s="34"/>
      <c r="AJ372" s="34"/>
      <c r="DN372" s="12"/>
    </row>
    <row r="373" spans="3:122" ht="11.25" customHeight="1" x14ac:dyDescent="0.2">
      <c r="C373" s="41">
        <f>(I373+K373+M373+O373+Q373+S373+U373)</f>
        <v>0</v>
      </c>
      <c r="E373" s="42">
        <f>C373/8</f>
        <v>0</v>
      </c>
      <c r="F373" s="137">
        <f>F372+H372</f>
        <v>0</v>
      </c>
      <c r="G373" s="137"/>
      <c r="H373" s="137"/>
      <c r="I373" s="46">
        <f>SUM(J363:J371)</f>
        <v>0</v>
      </c>
      <c r="J373" s="47">
        <f>I373+J358</f>
        <v>0</v>
      </c>
      <c r="K373" s="46">
        <f>SUM(L363:L371)</f>
        <v>0</v>
      </c>
      <c r="L373" s="47">
        <f>K373+L358</f>
        <v>0</v>
      </c>
      <c r="M373" s="46">
        <f>SUM(N363:N371)</f>
        <v>0</v>
      </c>
      <c r="N373" s="47">
        <f>M373+N358</f>
        <v>0</v>
      </c>
      <c r="O373" s="46">
        <f>SUM(P363:P371)</f>
        <v>0</v>
      </c>
      <c r="P373" s="47">
        <f>O373+P358</f>
        <v>0</v>
      </c>
      <c r="Q373" s="46">
        <f>SUM(R363:R371)</f>
        <v>0</v>
      </c>
      <c r="R373" s="47">
        <f>Q373+R358</f>
        <v>0</v>
      </c>
      <c r="S373" s="46">
        <f>SUM(T363:T371)</f>
        <v>0</v>
      </c>
      <c r="T373" s="47">
        <f>S373+T358</f>
        <v>0</v>
      </c>
      <c r="U373" s="46">
        <f>SUM(V363:V371)</f>
        <v>0</v>
      </c>
      <c r="V373" s="47">
        <f>U373+V358</f>
        <v>0</v>
      </c>
      <c r="AF373" s="34"/>
      <c r="AG373" s="34"/>
      <c r="AH373" s="34"/>
      <c r="AI373" s="34"/>
      <c r="AJ373" s="34"/>
      <c r="DN373" s="12"/>
    </row>
    <row r="374" spans="3:122" ht="11.25" customHeight="1" thickBot="1" x14ac:dyDescent="0.25">
      <c r="C374" s="41">
        <f>(I374+K374+M374+O374+Q374+S374+U374)</f>
        <v>0</v>
      </c>
      <c r="E374" s="42">
        <f>C374/8</f>
        <v>0</v>
      </c>
      <c r="F374" s="138">
        <f>F373+F359</f>
        <v>0</v>
      </c>
      <c r="G374" s="138"/>
      <c r="H374" s="138"/>
      <c r="I374" s="48">
        <f>I372*I373</f>
        <v>0</v>
      </c>
      <c r="J374" s="49">
        <f>I374+J359</f>
        <v>0</v>
      </c>
      <c r="K374" s="48">
        <f>K372*K373</f>
        <v>0</v>
      </c>
      <c r="L374" s="49">
        <f>K374+L359</f>
        <v>0</v>
      </c>
      <c r="M374" s="48">
        <f>M372*M373</f>
        <v>0</v>
      </c>
      <c r="N374" s="49">
        <f>M374+N359</f>
        <v>0</v>
      </c>
      <c r="O374" s="48">
        <f>O372*O373</f>
        <v>0</v>
      </c>
      <c r="P374" s="49">
        <f>O374+P359</f>
        <v>0</v>
      </c>
      <c r="Q374" s="48">
        <f>Q372*Q373</f>
        <v>0</v>
      </c>
      <c r="R374" s="49">
        <f>Q374+R359</f>
        <v>0</v>
      </c>
      <c r="S374" s="48">
        <f>S372*S373</f>
        <v>0</v>
      </c>
      <c r="T374" s="49">
        <f>S374+T359</f>
        <v>0</v>
      </c>
      <c r="U374" s="48">
        <f>U372*U373</f>
        <v>0</v>
      </c>
      <c r="V374" s="49">
        <f>U374+V359</f>
        <v>0</v>
      </c>
      <c r="AF374" s="34"/>
      <c r="AG374" s="34"/>
      <c r="AH374" s="34"/>
      <c r="AI374" s="34"/>
      <c r="AJ374" s="34"/>
      <c r="AL374" s="5">
        <f>MAX(I374,K374,M374,O374,Q374,S374,U374)</f>
        <v>0</v>
      </c>
      <c r="AM374" s="5">
        <f>MIN(I374,K374,M374,O374,Q374,S374,U374)</f>
        <v>0</v>
      </c>
      <c r="AN374" s="5"/>
      <c r="AO374" s="5"/>
      <c r="AP374" s="5"/>
      <c r="AQ374" s="5"/>
      <c r="AR374" s="5"/>
      <c r="AS374" s="13"/>
      <c r="AT374" s="5"/>
      <c r="AU374" s="5"/>
      <c r="AV374" s="5"/>
      <c r="AW374" s="5"/>
      <c r="AX374" s="5"/>
      <c r="AY374" s="5"/>
      <c r="AZ374" s="5"/>
      <c r="BA374" s="5"/>
      <c r="BB374" s="5"/>
      <c r="BD374" s="5"/>
      <c r="BE374" s="5"/>
      <c r="BF374" s="14"/>
      <c r="BG374" s="13"/>
      <c r="BH374" s="5"/>
      <c r="BI374" s="14"/>
      <c r="BJ374" s="13"/>
      <c r="BK374" s="5"/>
      <c r="BL374" s="14"/>
      <c r="BM374" s="13"/>
      <c r="BN374" s="5"/>
      <c r="BO374" s="14"/>
      <c r="BP374" s="13"/>
      <c r="BQ374" s="5"/>
      <c r="BR374" s="14"/>
      <c r="BS374" s="13"/>
      <c r="BT374" s="5"/>
      <c r="BU374" s="14"/>
      <c r="BV374" s="13"/>
      <c r="BW374" s="5"/>
      <c r="BX374" s="14"/>
      <c r="BY374" s="13"/>
      <c r="BZ374" s="5"/>
      <c r="CA374" s="14"/>
      <c r="CB374" s="13"/>
      <c r="CC374" s="5"/>
      <c r="CD374" s="14"/>
      <c r="CE374" s="13"/>
      <c r="CF374" s="5"/>
      <c r="CG374" s="14"/>
      <c r="CH374" s="13"/>
      <c r="CI374" s="5"/>
      <c r="CJ374" s="14"/>
      <c r="CK374" s="13"/>
      <c r="CL374" s="5"/>
      <c r="CM374" s="14"/>
      <c r="CN374" s="13"/>
      <c r="CO374" s="5"/>
      <c r="CP374" s="14"/>
      <c r="CQ374" s="13"/>
      <c r="CR374" s="5"/>
      <c r="CS374" s="14"/>
      <c r="CT374" s="13"/>
      <c r="CU374" s="5"/>
      <c r="CV374" s="14"/>
      <c r="CW374" s="13"/>
      <c r="CX374" s="5"/>
      <c r="CY374" s="14"/>
      <c r="CZ374" s="13"/>
      <c r="DA374" s="5"/>
      <c r="DB374" s="14"/>
      <c r="DC374" s="13"/>
      <c r="DD374" s="5"/>
      <c r="DE374" s="14"/>
      <c r="DF374" s="5"/>
      <c r="DG374" s="5"/>
      <c r="DH374" s="5"/>
      <c r="DN374" s="12"/>
    </row>
    <row r="375" spans="3:122" ht="11.25" customHeight="1" thickTop="1" x14ac:dyDescent="0.2">
      <c r="I375" s="50"/>
      <c r="J375" s="50">
        <f>L374-J374</f>
        <v>0</v>
      </c>
      <c r="K375" s="50"/>
      <c r="L375" s="50"/>
      <c r="M375" s="50"/>
      <c r="N375" s="50">
        <f>L374-N374</f>
        <v>0</v>
      </c>
      <c r="O375" s="50"/>
      <c r="P375" s="50">
        <f>L374-P374</f>
        <v>0</v>
      </c>
      <c r="Q375" s="50"/>
      <c r="R375" s="50">
        <f>L374-R374</f>
        <v>0</v>
      </c>
      <c r="S375" s="50"/>
      <c r="T375" s="50">
        <f>L374-T374</f>
        <v>0</v>
      </c>
      <c r="U375" s="50"/>
      <c r="V375" s="50">
        <f>L374-V374</f>
        <v>0</v>
      </c>
    </row>
    <row r="376" spans="3:122" ht="11.25" customHeight="1" x14ac:dyDescent="0.2">
      <c r="I376" s="139" t="str">
        <f>ß101</f>
        <v>Kropp</v>
      </c>
      <c r="J376" s="139"/>
      <c r="K376" s="139" t="str">
        <f>ß102</f>
        <v>Nörnberg</v>
      </c>
      <c r="L376" s="139"/>
      <c r="M376" s="139" t="str">
        <f>ß103</f>
        <v>Bübel</v>
      </c>
      <c r="N376" s="139"/>
      <c r="O376" s="139" t="str">
        <f>ß104</f>
        <v>Schwicht.</v>
      </c>
      <c r="P376" s="139"/>
      <c r="Q376" s="139" t="str">
        <f>ß105</f>
        <v>Rontzko.</v>
      </c>
      <c r="R376" s="139"/>
      <c r="S376" s="139" t="str">
        <f>ß106</f>
        <v>Hauschildt</v>
      </c>
      <c r="T376" s="139"/>
      <c r="U376" s="139" t="str">
        <f>ß107</f>
        <v>Zerres</v>
      </c>
      <c r="V376" s="139"/>
      <c r="AF376" s="11"/>
      <c r="AG376" s="11"/>
      <c r="AH376" s="11"/>
      <c r="AI376" s="11"/>
      <c r="AJ376" s="11"/>
      <c r="AL376" s="5" t="str">
        <f>IF($I389=$AL389,I376,"x")</f>
        <v>Kropp</v>
      </c>
      <c r="AM376" s="5" t="str">
        <f>IF($K389=$AL389,K376,"x")</f>
        <v>Nörnberg</v>
      </c>
      <c r="AN376" s="5" t="str">
        <f>IF($M389=$AL389,M376,"x")</f>
        <v>Bübel</v>
      </c>
      <c r="AO376" s="5" t="str">
        <f>IF($O389=$AL389,O376,"x")</f>
        <v>Schwicht.</v>
      </c>
      <c r="AP376" s="5" t="str">
        <f>IF($Q389=$AL389,Q376,"x")</f>
        <v>Rontzko.</v>
      </c>
      <c r="AQ376" s="5" t="str">
        <f>IF($S389=$AL389,S376,"x")</f>
        <v>Hauschildt</v>
      </c>
      <c r="AR376" s="5" t="str">
        <f>IF($U389=$AL389,U376,"x")</f>
        <v>Zerres</v>
      </c>
      <c r="AS376" s="13" t="str">
        <f>IF($I389=$AM389,I376,"x")</f>
        <v>Kropp</v>
      </c>
      <c r="AT376" s="5" t="str">
        <f>IF($K389=$AM389,K376,"x")</f>
        <v>Nörnberg</v>
      </c>
      <c r="AU376" s="5" t="str">
        <f>IF($M389=$AM389,M376,"x")</f>
        <v>Bübel</v>
      </c>
      <c r="AV376" s="5" t="str">
        <f>IF($O389=$AM389,O376,"x")</f>
        <v>Schwicht.</v>
      </c>
      <c r="AW376" s="5" t="str">
        <f>IF($Q389=$AM389,Q376,"x")</f>
        <v>Rontzko.</v>
      </c>
      <c r="AX376" s="5" t="str">
        <f>IF($S389=$AM389,S376,"x")</f>
        <v>Hauschildt</v>
      </c>
      <c r="AY376" s="5" t="str">
        <f>IF($U389=$AM389,U376,"x")</f>
        <v>Zerres</v>
      </c>
      <c r="BD376" s="140" t="str">
        <f>ß01</f>
        <v>Bayern</v>
      </c>
      <c r="BE376" s="140"/>
      <c r="BF376" s="140"/>
      <c r="BG376" s="141" t="str">
        <f>ß02</f>
        <v>Leipzig</v>
      </c>
      <c r="BH376" s="141"/>
      <c r="BI376" s="141"/>
      <c r="BJ376" s="141" t="str">
        <f>ß03</f>
        <v>Leverk.</v>
      </c>
      <c r="BK376" s="141"/>
      <c r="BL376" s="141"/>
      <c r="BM376" s="141" t="str">
        <f>ß04</f>
        <v>Hoffenheim</v>
      </c>
      <c r="BN376" s="141"/>
      <c r="BO376" s="141"/>
      <c r="BP376" s="141" t="str">
        <f>ß05</f>
        <v>Frankfurt</v>
      </c>
      <c r="BQ376" s="141"/>
      <c r="BR376" s="141"/>
      <c r="BS376" s="141" t="str">
        <f>ß06</f>
        <v>Werder</v>
      </c>
      <c r="BT376" s="141"/>
      <c r="BU376" s="141"/>
      <c r="BV376" s="141" t="str">
        <f>ß07</f>
        <v>Freiburg</v>
      </c>
      <c r="BW376" s="141"/>
      <c r="BX376" s="141"/>
      <c r="BY376" s="141" t="str">
        <f>ß08</f>
        <v>Augsburg</v>
      </c>
      <c r="BZ376" s="141"/>
      <c r="CA376" s="141"/>
      <c r="CB376" s="141" t="str">
        <f>ß09</f>
        <v>Mainz</v>
      </c>
      <c r="CC376" s="141"/>
      <c r="CD376" s="141"/>
      <c r="CE376" s="141" t="str">
        <f>ß10</f>
        <v>Köln</v>
      </c>
      <c r="CF376" s="141"/>
      <c r="CG376" s="141"/>
      <c r="CH376" s="141" t="str">
        <f>ß11</f>
        <v>M'gladb.</v>
      </c>
      <c r="CI376" s="141"/>
      <c r="CJ376" s="141"/>
      <c r="CK376" s="141" t="str">
        <f>ß12</f>
        <v>HSV</v>
      </c>
      <c r="CL376" s="141"/>
      <c r="CM376" s="141"/>
      <c r="CN376" s="141" t="str">
        <f>ß13</f>
        <v>Union</v>
      </c>
      <c r="CO376" s="141"/>
      <c r="CP376" s="141"/>
      <c r="CQ376" s="141" t="str">
        <f>ß14</f>
        <v>Stuttgart</v>
      </c>
      <c r="CR376" s="141"/>
      <c r="CS376" s="141"/>
      <c r="CT376" s="141" t="str">
        <f>ß15</f>
        <v>St. Pauli</v>
      </c>
      <c r="CU376" s="141"/>
      <c r="CV376" s="141"/>
      <c r="CW376" s="141" t="str">
        <f>ß16</f>
        <v>Dortmund</v>
      </c>
      <c r="CX376" s="141"/>
      <c r="CY376" s="141"/>
      <c r="CZ376" s="141" t="str">
        <f>ß17</f>
        <v>Heidenheim</v>
      </c>
      <c r="DA376" s="141"/>
      <c r="DB376" s="141"/>
      <c r="DC376" s="141" t="str">
        <f>ß18</f>
        <v>Wolfsburg</v>
      </c>
      <c r="DD376" s="141"/>
      <c r="DE376" s="141"/>
      <c r="DN376" s="12"/>
    </row>
    <row r="377" spans="3:122" ht="11.25" customHeight="1" x14ac:dyDescent="0.2">
      <c r="C377" s="16" t="str">
        <f>Mannschaften!F26</f>
        <v>26. Spieltag</v>
      </c>
      <c r="D377" s="11"/>
      <c r="E377" s="17" t="str">
        <f>Mannschaften!G26</f>
        <v>13.-15.3.26</v>
      </c>
      <c r="I377" s="19">
        <f>RANK(Rang!A26,Rang!A26:G26)</f>
        <v>1</v>
      </c>
      <c r="J377" s="20">
        <f>RANK(Rang!H26,Rang!H26:N26)</f>
        <v>1</v>
      </c>
      <c r="K377" s="19">
        <f>RANK(Rang!B26,Rang!A26:G26)</f>
        <v>1</v>
      </c>
      <c r="L377" s="20">
        <f>RANK(Rang!I26,Rang!H26:N26)</f>
        <v>1</v>
      </c>
      <c r="M377" s="19">
        <f>RANK(Rang!C26,Rang!A26:G26)</f>
        <v>1</v>
      </c>
      <c r="N377" s="20">
        <f>RANK(Rang!J26,Rang!H26:N26)</f>
        <v>1</v>
      </c>
      <c r="O377" s="19">
        <f>RANK(Rang!D26,Rang!A26:G26)</f>
        <v>1</v>
      </c>
      <c r="P377" s="20">
        <f>RANK(Rang!K26,Rang!H26:N26)</f>
        <v>1</v>
      </c>
      <c r="Q377" s="19">
        <f>RANK(Rang!E26,Rang!A26:G26)</f>
        <v>1</v>
      </c>
      <c r="R377" s="20">
        <f>RANK(Rang!L26,Rang!H26:N26)</f>
        <v>1</v>
      </c>
      <c r="S377" s="19">
        <f>RANK(Rang!F26,Rang!A26:G26)</f>
        <v>1</v>
      </c>
      <c r="T377" s="20">
        <f>RANK(Rang!M26,Rang!H26:N26)</f>
        <v>1</v>
      </c>
      <c r="U377" s="19">
        <f>RANK(Rang!G26,Rang!A26:G26)</f>
        <v>1</v>
      </c>
      <c r="V377" s="20">
        <f>RANK(Rang!N26,Rang!H26:N26)</f>
        <v>1</v>
      </c>
      <c r="AF377" s="22"/>
      <c r="AG377" s="22"/>
      <c r="AH377" s="22"/>
      <c r="AI377" s="22"/>
      <c r="AJ377" s="22"/>
      <c r="AK377" s="21"/>
      <c r="AL377" s="21"/>
      <c r="AM377" s="21"/>
      <c r="AN377" s="21"/>
      <c r="AO377" s="21"/>
      <c r="AP377" s="21"/>
      <c r="AQ377" s="21"/>
      <c r="AR377" s="21"/>
      <c r="AS377" s="24"/>
      <c r="AT377" s="21"/>
      <c r="AU377" s="21"/>
      <c r="AV377" s="21"/>
      <c r="AW377" s="21"/>
      <c r="AX377" s="21"/>
      <c r="AY377" s="21"/>
      <c r="AZ377" s="21"/>
      <c r="BA377" s="21"/>
      <c r="BB377" s="21"/>
      <c r="BD377" s="25" t="s">
        <v>4</v>
      </c>
      <c r="BE377" s="25" t="s">
        <v>5</v>
      </c>
      <c r="BF377" s="26" t="s">
        <v>6</v>
      </c>
      <c r="BG377" s="27" t="s">
        <v>4</v>
      </c>
      <c r="BH377" s="25" t="s">
        <v>5</v>
      </c>
      <c r="BI377" s="26" t="s">
        <v>6</v>
      </c>
      <c r="BJ377" s="27" t="s">
        <v>4</v>
      </c>
      <c r="BK377" s="25" t="s">
        <v>5</v>
      </c>
      <c r="BL377" s="26" t="s">
        <v>6</v>
      </c>
      <c r="BM377" s="27" t="s">
        <v>4</v>
      </c>
      <c r="BN377" s="25" t="s">
        <v>5</v>
      </c>
      <c r="BO377" s="26" t="s">
        <v>6</v>
      </c>
      <c r="BP377" s="27" t="s">
        <v>4</v>
      </c>
      <c r="BQ377" s="25" t="s">
        <v>5</v>
      </c>
      <c r="BR377" s="26" t="s">
        <v>6</v>
      </c>
      <c r="BS377" s="27" t="s">
        <v>4</v>
      </c>
      <c r="BT377" s="25" t="s">
        <v>5</v>
      </c>
      <c r="BU377" s="26" t="s">
        <v>6</v>
      </c>
      <c r="BV377" s="27" t="s">
        <v>4</v>
      </c>
      <c r="BW377" s="25" t="s">
        <v>5</v>
      </c>
      <c r="BX377" s="26" t="s">
        <v>6</v>
      </c>
      <c r="BY377" s="27" t="s">
        <v>4</v>
      </c>
      <c r="BZ377" s="25" t="s">
        <v>5</v>
      </c>
      <c r="CA377" s="26" t="s">
        <v>6</v>
      </c>
      <c r="CB377" s="27" t="s">
        <v>4</v>
      </c>
      <c r="CC377" s="25" t="s">
        <v>5</v>
      </c>
      <c r="CD377" s="26" t="s">
        <v>6</v>
      </c>
      <c r="CE377" s="27" t="s">
        <v>4</v>
      </c>
      <c r="CF377" s="25" t="s">
        <v>5</v>
      </c>
      <c r="CG377" s="26" t="s">
        <v>6</v>
      </c>
      <c r="CH377" s="27" t="s">
        <v>4</v>
      </c>
      <c r="CI377" s="25" t="s">
        <v>5</v>
      </c>
      <c r="CJ377" s="26" t="s">
        <v>6</v>
      </c>
      <c r="CK377" s="27" t="s">
        <v>4</v>
      </c>
      <c r="CL377" s="25" t="s">
        <v>5</v>
      </c>
      <c r="CM377" s="26" t="s">
        <v>6</v>
      </c>
      <c r="CN377" s="27" t="s">
        <v>4</v>
      </c>
      <c r="CO377" s="25" t="s">
        <v>5</v>
      </c>
      <c r="CP377" s="26" t="s">
        <v>6</v>
      </c>
      <c r="CQ377" s="27" t="s">
        <v>4</v>
      </c>
      <c r="CR377" s="25" t="s">
        <v>5</v>
      </c>
      <c r="CS377" s="26" t="s">
        <v>6</v>
      </c>
      <c r="CT377" s="27" t="s">
        <v>4</v>
      </c>
      <c r="CU377" s="25" t="s">
        <v>5</v>
      </c>
      <c r="CV377" s="26" t="s">
        <v>6</v>
      </c>
      <c r="CW377" s="27" t="s">
        <v>4</v>
      </c>
      <c r="CX377" s="25" t="s">
        <v>5</v>
      </c>
      <c r="CY377" s="26" t="s">
        <v>6</v>
      </c>
      <c r="CZ377" s="27" t="s">
        <v>4</v>
      </c>
      <c r="DA377" s="25" t="s">
        <v>5</v>
      </c>
      <c r="DB377" s="26" t="s">
        <v>6</v>
      </c>
      <c r="DC377" s="27" t="s">
        <v>4</v>
      </c>
      <c r="DD377" s="25" t="s">
        <v>5</v>
      </c>
      <c r="DE377" s="26" t="s">
        <v>6</v>
      </c>
      <c r="DF377" s="21"/>
      <c r="DG377" s="21"/>
      <c r="DH377" s="21"/>
      <c r="DN377" s="136" t="s">
        <v>7</v>
      </c>
      <c r="DO377" s="136"/>
      <c r="DP377" s="136" t="s">
        <v>8</v>
      </c>
      <c r="DQ377" s="136"/>
      <c r="DR377" s="28"/>
    </row>
    <row r="378" spans="3:122" ht="11.25" customHeight="1" x14ac:dyDescent="0.2">
      <c r="C378" s="2" t="str">
        <f t="shared" ref="C378:C386" si="371">E123</f>
        <v>Leverk.</v>
      </c>
      <c r="D378" s="3" t="s">
        <v>11</v>
      </c>
      <c r="E378" s="2" t="str">
        <f t="shared" ref="E378:E386" si="372">C123</f>
        <v>Bayern</v>
      </c>
      <c r="F378" s="29"/>
      <c r="G378" s="3" t="s">
        <v>12</v>
      </c>
      <c r="H378" s="30"/>
      <c r="I378" s="31"/>
      <c r="J378" s="32" t="str">
        <f t="shared" ref="J378:J386" si="373">IF($F378="","",(IF(I378="","",IF(I378=$DG378,(VLOOKUP($DH378,$DJ$3:$DK$11,2,FALSE())),0))))</f>
        <v/>
      </c>
      <c r="K378" s="31"/>
      <c r="L378" s="32" t="str">
        <f t="shared" ref="L378:L386" si="374">IF($F378="","",(IF(K378="","",IF(K378=$DG378,(VLOOKUP($DH378,$DJ$3:$DK$11,2,FALSE())),0))))</f>
        <v/>
      </c>
      <c r="M378" s="31"/>
      <c r="N378" s="32" t="str">
        <f t="shared" ref="N378:N386" si="375">IF($F378="","",(IF(M378="","",IF(M378=$DG378,(VLOOKUP($DH378,$DJ$3:$DK$11,2,FALSE())),0))))</f>
        <v/>
      </c>
      <c r="O378" s="31"/>
      <c r="P378" s="32" t="str">
        <f t="shared" ref="P378:P386" si="376">IF($F378="","",(IF(O378="","",IF(O378=$DG378,(VLOOKUP($DH378,$DJ$3:$DK$11,2,FALSE())),0))))</f>
        <v/>
      </c>
      <c r="Q378" s="31"/>
      <c r="R378" s="32" t="str">
        <f t="shared" ref="R378:R386" si="377">IF($F378="","",(IF(Q378="","",IF(Q378=$DG378,(VLOOKUP($DH378,$DJ$3:$DK$11,2,FALSE())),0))))</f>
        <v/>
      </c>
      <c r="S378" s="31"/>
      <c r="T378" s="32" t="str">
        <f t="shared" ref="T378:T386" si="378">IF($F378="","",(IF(S378="","",IF(S378=$DG378,(VLOOKUP($DH378,$DJ$3:$DK$11,2,FALSE())),0))))</f>
        <v/>
      </c>
      <c r="U378" s="31"/>
      <c r="V378" s="32" t="str">
        <f t="shared" ref="V378:V386" si="379">IF($F378="","",(IF(U378="","",IF(U378=$DG378,(VLOOKUP($DH378,$DJ$3:$DK$11,2,FALSE())),0))))</f>
        <v/>
      </c>
      <c r="AF378" s="34"/>
      <c r="AG378" s="34"/>
      <c r="AH378" s="34"/>
      <c r="AI378" s="34"/>
      <c r="AJ378" s="34"/>
      <c r="AN378" s="5"/>
      <c r="AO378" s="5"/>
      <c r="AP378" s="5"/>
      <c r="AQ378" s="5"/>
      <c r="AR378" s="5"/>
      <c r="AS378" s="13"/>
      <c r="AT378" s="5"/>
      <c r="AU378" s="5"/>
      <c r="AV378" s="5"/>
      <c r="AW378" s="5"/>
      <c r="AX378" s="5"/>
      <c r="AY378" s="5"/>
      <c r="BC378" s="6">
        <v>377</v>
      </c>
      <c r="BD378" s="35" t="str">
        <f>IF(ISERROR(MATCH(ß01,$C378:$C386,0)),"",MATCH(ß01,$C378:$C386,0))</f>
        <v/>
      </c>
      <c r="BE378" s="35">
        <f>IF(ISERROR(MATCH(ß01,$E378:$E386,0)),"",MATCH(ß01,$E378:$E386,0))</f>
        <v>1</v>
      </c>
      <c r="BF378" s="15">
        <f>SUM(BD378:BE378)+BC378</f>
        <v>378</v>
      </c>
      <c r="BG378" s="36" t="str">
        <f>IF(ISERROR(MATCH(ß02,$C378:$C386,0)),"",MATCH(ß02,$C378:$C386,0))</f>
        <v/>
      </c>
      <c r="BH378" s="35">
        <f>IF(ISERROR(MATCH(ß02,$E378:$E386,0)),"",MATCH(ß02,$E378:$E386,0))</f>
        <v>3</v>
      </c>
      <c r="BI378" s="15">
        <f>SUM(BG378:BH378)+BC378</f>
        <v>380</v>
      </c>
      <c r="BJ378" s="36">
        <f>IF(ISERROR(MATCH(ß03,$C378:$C386,0)),"",MATCH(ß03,$C378:$C386,0))</f>
        <v>1</v>
      </c>
      <c r="BK378" s="35" t="str">
        <f>IF(ISERROR(MATCH(ß03,$E378:$E386,0)),"",MATCH(ß03,$E378:$E386,0))</f>
        <v/>
      </c>
      <c r="BL378" s="15">
        <f>SUM(BJ378:BK378)+BC378</f>
        <v>378</v>
      </c>
      <c r="BM378" s="36">
        <f>IF(ISERROR(MATCH(ß04,$C378:$C386,0)),"",MATCH(ß04,$C378:$C386,0))</f>
        <v>4</v>
      </c>
      <c r="BN378" s="35" t="str">
        <f>IF(ISERROR(MATCH(ß04,$E378:$E386,0)),"",MATCH(ß04,$E378:$E386,0))</f>
        <v/>
      </c>
      <c r="BO378" s="15">
        <f>SUM(BM378:BN378)+BC378</f>
        <v>381</v>
      </c>
      <c r="BP378" s="36">
        <f>IF(ISERROR(MATCH(ß05,$C378:$C386,0)),"",MATCH(ß05,$C378:$C386,0))</f>
        <v>8</v>
      </c>
      <c r="BQ378" s="35" t="str">
        <f>IF(ISERROR(MATCH(ß05,$E378:$E386,0)),"",MATCH(ß05,$E378:$E386,0))</f>
        <v/>
      </c>
      <c r="BR378" s="15">
        <f>SUM(BP378:BQ378)+BC378</f>
        <v>385</v>
      </c>
      <c r="BS378" s="36">
        <f>IF(ISERROR(MATCH(ß06,$C378:$C386,0)),"",MATCH(ß06,$C378:$C386,0))</f>
        <v>2</v>
      </c>
      <c r="BT378" s="35" t="str">
        <f>IF(ISERROR(MATCH(ß06,$E378:$E386,0)),"",MATCH(ß06,$E378:$E386,0))</f>
        <v/>
      </c>
      <c r="BU378" s="15">
        <f>SUM(BS378:BT378)+BC378</f>
        <v>379</v>
      </c>
      <c r="BV378" s="36">
        <f>IF(ISERROR(MATCH(ß07,$C378:$C386,0)),"",MATCH(ß07,$C378:$C386,0))</f>
        <v>6</v>
      </c>
      <c r="BW378" s="35" t="str">
        <f>IF(ISERROR(MATCH(ß07,$E378:$E386,0)),"",MATCH(ß07,$E378:$E386,0))</f>
        <v/>
      </c>
      <c r="BX378" s="15">
        <f>SUM(BV378:BW378)+BC378</f>
        <v>383</v>
      </c>
      <c r="BY378" s="36" t="str">
        <f>IF(ISERROR(MATCH(ß08,$C378:$C386,0)),"",MATCH(ß08,$C378:$C386,0))</f>
        <v/>
      </c>
      <c r="BZ378" s="35">
        <f>IF(ISERROR(MATCH(ß08,$E378:$E386,0)),"",MATCH(ß08,$E378:$E386,0))</f>
        <v>5</v>
      </c>
      <c r="CA378" s="15">
        <f>SUM(BY378:BZ378)+BC378</f>
        <v>382</v>
      </c>
      <c r="CB378" s="36" t="str">
        <f>IF(ISERROR(MATCH(ß09,$C378:$C386,0)),"",MATCH(ß09,$C378:$C386,0))</f>
        <v/>
      </c>
      <c r="CC378" s="35">
        <f>IF(ISERROR(MATCH(ß09,$E378:$E386,0)),"",MATCH(ß09,$E378:$E386,0))</f>
        <v>2</v>
      </c>
      <c r="CD378" s="15">
        <f>SUM(CB378:CC378)+BC378</f>
        <v>379</v>
      </c>
      <c r="CE378" s="36" t="str">
        <f>IF(ISERROR(MATCH(ß10,$C378:$C386,0)),"",MATCH(ß10,$C378:$C386,0))</f>
        <v/>
      </c>
      <c r="CF378" s="35">
        <f>IF(ISERROR(MATCH(ß10,$E378:$E386,0)),"",MATCH(ß10,$E378:$E386,0))</f>
        <v>9</v>
      </c>
      <c r="CG378" s="15">
        <f>SUM(CE378:CF378)+BC378</f>
        <v>386</v>
      </c>
      <c r="CH378" s="36">
        <f>IF(ISERROR(MATCH(ß11,$C378:$C386,0)),"",MATCH(ß11,$C378:$C386,0))</f>
        <v>7</v>
      </c>
      <c r="CI378" s="35" t="str">
        <f>IF(ISERROR(MATCH(ß11,$E378:$E386,0)),"",MATCH(ß11,$E378:$E386,0))</f>
        <v/>
      </c>
      <c r="CJ378" s="15">
        <f>SUM(CH378:CI378)+BC378</f>
        <v>384</v>
      </c>
      <c r="CK378" s="36">
        <f>IF(ISERROR(MATCH(ß12,$C378:$C386,0)),"",MATCH(ß12,$C378:$C386,0))</f>
        <v>9</v>
      </c>
      <c r="CL378" s="35" t="str">
        <f>IF(ISERROR(MATCH(ß12,$E378:$E386,0)),"",MATCH(ß12,$E378:$E386,0))</f>
        <v/>
      </c>
      <c r="CM378" s="15">
        <f>SUM(CK378:CL378)+BC378</f>
        <v>386</v>
      </c>
      <c r="CN378" s="36" t="str">
        <f>IF(ISERROR(MATCH(ß13,$C378:$C386,0)),"",MATCH(ß13,$C378:$C386,0))</f>
        <v/>
      </c>
      <c r="CO378" s="35">
        <f>IF(ISERROR(MATCH(ß13,$E378:$E386,0)),"",MATCH(ß13,$E378:$E386,0))</f>
        <v>6</v>
      </c>
      <c r="CP378" s="15">
        <f>SUM(CN378:CO378)+BC378</f>
        <v>383</v>
      </c>
      <c r="CQ378" s="36">
        <f>IF(ISERROR(MATCH(ß14,$C378:$C386,0)),"",MATCH(ß14,$C378:$C386,0))</f>
        <v>3</v>
      </c>
      <c r="CR378" s="35" t="str">
        <f>IF(ISERROR(MATCH(ß14,$E378:$E386,0)),"",MATCH(ß14,$E378:$E386,0))</f>
        <v/>
      </c>
      <c r="CS378" s="15">
        <f>SUM(CQ378:CR378)+BC378</f>
        <v>380</v>
      </c>
      <c r="CT378" s="36" t="str">
        <f>IF(ISERROR(MATCH(ß15,$C378:$C386,0)),"",MATCH(ß15,$C378:$C386,0))</f>
        <v/>
      </c>
      <c r="CU378" s="35">
        <f>IF(ISERROR(MATCH(ß15,$E378:$E386,0)),"",MATCH(ß15,$E378:$E386,0))</f>
        <v>7</v>
      </c>
      <c r="CV378" s="15">
        <f>SUM(CT378:CU378)+BC378</f>
        <v>384</v>
      </c>
      <c r="CW378" s="36">
        <f>IF(ISERROR(MATCH(ß16,$C378:$C386,0)),"",MATCH(ß16,$C378:$C386,0))</f>
        <v>5</v>
      </c>
      <c r="CX378" s="35" t="str">
        <f>IF(ISERROR(MATCH(ß16,$E378:$E386,0)),"",MATCH(ß16,$E378:$E386,0))</f>
        <v/>
      </c>
      <c r="CY378" s="15">
        <f>SUM(CW378:CX378)+BC378</f>
        <v>382</v>
      </c>
      <c r="CZ378" s="36" t="str">
        <f>IF(ISERROR(MATCH(ß17,$C378:$C386,0)),"",MATCH(ß17,$C378:$C386,0))</f>
        <v/>
      </c>
      <c r="DA378" s="35">
        <f>IF(ISERROR(MATCH(ß17,$E378:$E386,0)),"",MATCH(ß17,$E378:$E386,0))</f>
        <v>8</v>
      </c>
      <c r="DB378" s="15">
        <f>SUM(CZ378:DA378)+BC378</f>
        <v>385</v>
      </c>
      <c r="DC378" s="36" t="str">
        <f>IF(ISERROR(MATCH(ß18,$C378:$C386,0)),"",MATCH(ß18,$C378:$C386,0))</f>
        <v/>
      </c>
      <c r="DD378" s="35">
        <f>IF(ISERROR(MATCH(ß18,$E378:$E386,0)),"",MATCH(ß18,$E378:$E386,0))</f>
        <v>4</v>
      </c>
      <c r="DE378" s="15">
        <f>SUM(DC378:DD378)+BC378</f>
        <v>381</v>
      </c>
      <c r="DG378" s="8" t="str">
        <f t="shared" ref="DG378:DG386" si="380">IF(F378="","",(IF(F378=H378,0,IF(F378&gt;H378,1,IF(F378&lt;H378,2)))))</f>
        <v/>
      </c>
      <c r="DH378" s="3">
        <f>COUNTIF(I378,DG378)+COUNTIF(K378,DG378)+COUNTIF(M378,DG378)+COUNTIF(O378,DG378)+COUNTIF(Q378,DG378)+COUNTIF(S378,DG378)+COUNTIF(U378,DG378)</f>
        <v>7</v>
      </c>
      <c r="DN378" s="12">
        <f t="shared" ref="DN378:DN386" si="381">F378</f>
        <v>0</v>
      </c>
      <c r="DO378" s="5">
        <f t="shared" ref="DO378:DO386" si="382">H378</f>
        <v>0</v>
      </c>
      <c r="DP378" s="5" t="str">
        <f t="shared" ref="DP378:DP386" si="383">IF($F378="","",IF(DN378&gt;DO378,3,IF(DN378&lt;DO378,0,1)))</f>
        <v/>
      </c>
      <c r="DQ378" s="5" t="str">
        <f t="shared" ref="DQ378:DQ386" si="384">IF($H378="","",IF(DO378&gt;DN378,3,IF(DO378&lt;DN378,0,1)))</f>
        <v/>
      </c>
      <c r="DR378" s="5">
        <f t="shared" ref="DR378:DR386" si="385">IF(ISBLANK(F378),0,1)</f>
        <v>0</v>
      </c>
    </row>
    <row r="379" spans="3:122" ht="11.25" customHeight="1" x14ac:dyDescent="0.2">
      <c r="C379" s="2" t="str">
        <f t="shared" si="371"/>
        <v>Werder</v>
      </c>
      <c r="D379" s="3" t="s">
        <v>11</v>
      </c>
      <c r="E379" s="2" t="str">
        <f t="shared" si="372"/>
        <v>Mainz</v>
      </c>
      <c r="F379" s="29"/>
      <c r="G379" s="3" t="s">
        <v>12</v>
      </c>
      <c r="H379" s="30"/>
      <c r="I379" s="37"/>
      <c r="J379" s="38" t="str">
        <f t="shared" si="373"/>
        <v/>
      </c>
      <c r="K379" s="37"/>
      <c r="L379" s="38" t="str">
        <f t="shared" si="374"/>
        <v/>
      </c>
      <c r="M379" s="37"/>
      <c r="N379" s="38" t="str">
        <f t="shared" si="375"/>
        <v/>
      </c>
      <c r="O379" s="37"/>
      <c r="P379" s="38" t="str">
        <f t="shared" si="376"/>
        <v/>
      </c>
      <c r="Q379" s="37"/>
      <c r="R379" s="38" t="str">
        <f t="shared" si="377"/>
        <v/>
      </c>
      <c r="S379" s="37"/>
      <c r="T379" s="38" t="str">
        <f t="shared" si="378"/>
        <v/>
      </c>
      <c r="U379" s="37"/>
      <c r="V379" s="38" t="str">
        <f t="shared" si="379"/>
        <v/>
      </c>
      <c r="AF379" s="34"/>
      <c r="AG379" s="34"/>
      <c r="AH379" s="34"/>
      <c r="AI379" s="34"/>
      <c r="AJ379" s="34"/>
      <c r="DG379" s="8" t="str">
        <f t="shared" si="380"/>
        <v/>
      </c>
      <c r="DH379" s="3">
        <f t="shared" ref="DH379:DH386" si="386">COUNTIF(I379,DG379)+COUNTIF(K379,DG379)+COUNTIF(M379,DG379)+COUNTIF(O379,DG379)+COUNTIF(Q379,DG379)+COUNTIF(S379,DG379)+COUNTIF(U379,DG379)</f>
        <v>7</v>
      </c>
      <c r="DN379" s="12">
        <f t="shared" si="381"/>
        <v>0</v>
      </c>
      <c r="DO379" s="5">
        <f t="shared" si="382"/>
        <v>0</v>
      </c>
      <c r="DP379" s="5" t="str">
        <f t="shared" si="383"/>
        <v/>
      </c>
      <c r="DQ379" s="5" t="str">
        <f t="shared" si="384"/>
        <v/>
      </c>
      <c r="DR379" s="5">
        <f t="shared" si="385"/>
        <v>0</v>
      </c>
    </row>
    <row r="380" spans="3:122" ht="11.25" customHeight="1" x14ac:dyDescent="0.2">
      <c r="C380" s="2" t="str">
        <f t="shared" si="371"/>
        <v>Stuttgart</v>
      </c>
      <c r="D380" s="3" t="s">
        <v>11</v>
      </c>
      <c r="E380" s="2" t="str">
        <f t="shared" si="372"/>
        <v>Leipzig</v>
      </c>
      <c r="F380" s="29"/>
      <c r="G380" s="3" t="s">
        <v>12</v>
      </c>
      <c r="H380" s="30"/>
      <c r="I380" s="37"/>
      <c r="J380" s="38" t="str">
        <f t="shared" si="373"/>
        <v/>
      </c>
      <c r="K380" s="37"/>
      <c r="L380" s="38" t="str">
        <f t="shared" si="374"/>
        <v/>
      </c>
      <c r="M380" s="37"/>
      <c r="N380" s="38" t="str">
        <f t="shared" si="375"/>
        <v/>
      </c>
      <c r="O380" s="37"/>
      <c r="P380" s="38" t="str">
        <f t="shared" si="376"/>
        <v/>
      </c>
      <c r="Q380" s="37"/>
      <c r="R380" s="38" t="str">
        <f t="shared" si="377"/>
        <v/>
      </c>
      <c r="S380" s="37"/>
      <c r="T380" s="38" t="str">
        <f t="shared" si="378"/>
        <v/>
      </c>
      <c r="U380" s="37"/>
      <c r="V380" s="38" t="str">
        <f t="shared" si="379"/>
        <v/>
      </c>
      <c r="AF380" s="34"/>
      <c r="AG380" s="34"/>
      <c r="AH380" s="34"/>
      <c r="AI380" s="34"/>
      <c r="AJ380" s="34"/>
      <c r="DG380" s="8" t="str">
        <f t="shared" si="380"/>
        <v/>
      </c>
      <c r="DH380" s="3">
        <f t="shared" si="386"/>
        <v>7</v>
      </c>
      <c r="DN380" s="12">
        <f t="shared" si="381"/>
        <v>0</v>
      </c>
      <c r="DO380" s="5">
        <f t="shared" si="382"/>
        <v>0</v>
      </c>
      <c r="DP380" s="5" t="str">
        <f t="shared" si="383"/>
        <v/>
      </c>
      <c r="DQ380" s="5" t="str">
        <f t="shared" si="384"/>
        <v/>
      </c>
      <c r="DR380" s="5">
        <f t="shared" si="385"/>
        <v>0</v>
      </c>
    </row>
    <row r="381" spans="3:122" ht="11.25" customHeight="1" x14ac:dyDescent="0.2">
      <c r="C381" s="2" t="str">
        <f t="shared" si="371"/>
        <v>Hoffenheim</v>
      </c>
      <c r="D381" s="3" t="s">
        <v>11</v>
      </c>
      <c r="E381" s="2" t="str">
        <f t="shared" si="372"/>
        <v>Wolfsburg</v>
      </c>
      <c r="F381" s="29"/>
      <c r="G381" s="3" t="s">
        <v>12</v>
      </c>
      <c r="H381" s="30"/>
      <c r="I381" s="37"/>
      <c r="J381" s="38" t="str">
        <f t="shared" si="373"/>
        <v/>
      </c>
      <c r="K381" s="37"/>
      <c r="L381" s="38" t="str">
        <f t="shared" si="374"/>
        <v/>
      </c>
      <c r="M381" s="37"/>
      <c r="N381" s="38" t="str">
        <f t="shared" si="375"/>
        <v/>
      </c>
      <c r="O381" s="37"/>
      <c r="P381" s="38" t="str">
        <f t="shared" si="376"/>
        <v/>
      </c>
      <c r="Q381" s="37"/>
      <c r="R381" s="38" t="str">
        <f t="shared" si="377"/>
        <v/>
      </c>
      <c r="S381" s="37"/>
      <c r="T381" s="38" t="str">
        <f t="shared" si="378"/>
        <v/>
      </c>
      <c r="U381" s="37"/>
      <c r="V381" s="38" t="str">
        <f t="shared" si="379"/>
        <v/>
      </c>
      <c r="AF381" s="34"/>
      <c r="AG381" s="34"/>
      <c r="AH381" s="34"/>
      <c r="AI381" s="34"/>
      <c r="AJ381" s="34"/>
      <c r="DG381" s="8" t="str">
        <f t="shared" si="380"/>
        <v/>
      </c>
      <c r="DH381" s="3">
        <f t="shared" si="386"/>
        <v>7</v>
      </c>
      <c r="DN381" s="12">
        <f t="shared" si="381"/>
        <v>0</v>
      </c>
      <c r="DO381" s="5">
        <f t="shared" si="382"/>
        <v>0</v>
      </c>
      <c r="DP381" s="5" t="str">
        <f t="shared" si="383"/>
        <v/>
      </c>
      <c r="DQ381" s="5" t="str">
        <f t="shared" si="384"/>
        <v/>
      </c>
      <c r="DR381" s="5">
        <f t="shared" si="385"/>
        <v>0</v>
      </c>
    </row>
    <row r="382" spans="3:122" ht="11.25" customHeight="1" x14ac:dyDescent="0.2">
      <c r="C382" s="2" t="str">
        <f t="shared" si="371"/>
        <v>Dortmund</v>
      </c>
      <c r="D382" s="3" t="s">
        <v>11</v>
      </c>
      <c r="E382" s="2" t="str">
        <f t="shared" si="372"/>
        <v>Augsburg</v>
      </c>
      <c r="F382" s="29"/>
      <c r="G382" s="3" t="s">
        <v>12</v>
      </c>
      <c r="H382" s="30"/>
      <c r="I382" s="37"/>
      <c r="J382" s="38" t="str">
        <f t="shared" si="373"/>
        <v/>
      </c>
      <c r="K382" s="37"/>
      <c r="L382" s="38" t="str">
        <f t="shared" si="374"/>
        <v/>
      </c>
      <c r="M382" s="37"/>
      <c r="N382" s="38" t="str">
        <f t="shared" si="375"/>
        <v/>
      </c>
      <c r="O382" s="37"/>
      <c r="P382" s="38" t="str">
        <f t="shared" si="376"/>
        <v/>
      </c>
      <c r="Q382" s="37"/>
      <c r="R382" s="38" t="str">
        <f t="shared" si="377"/>
        <v/>
      </c>
      <c r="S382" s="37"/>
      <c r="T382" s="38" t="str">
        <f t="shared" si="378"/>
        <v/>
      </c>
      <c r="U382" s="37"/>
      <c r="V382" s="38" t="str">
        <f t="shared" si="379"/>
        <v/>
      </c>
      <c r="AF382" s="34"/>
      <c r="AG382" s="34"/>
      <c r="AH382" s="34"/>
      <c r="AI382" s="34"/>
      <c r="AJ382" s="34"/>
      <c r="DG382" s="8" t="str">
        <f t="shared" si="380"/>
        <v/>
      </c>
      <c r="DH382" s="3">
        <f t="shared" si="386"/>
        <v>7</v>
      </c>
      <c r="DN382" s="12">
        <f t="shared" si="381"/>
        <v>0</v>
      </c>
      <c r="DO382" s="5">
        <f t="shared" si="382"/>
        <v>0</v>
      </c>
      <c r="DP382" s="5" t="str">
        <f t="shared" si="383"/>
        <v/>
      </c>
      <c r="DQ382" s="5" t="str">
        <f t="shared" si="384"/>
        <v/>
      </c>
      <c r="DR382" s="5">
        <f t="shared" si="385"/>
        <v>0</v>
      </c>
    </row>
    <row r="383" spans="3:122" ht="11.25" customHeight="1" x14ac:dyDescent="0.2">
      <c r="C383" s="2" t="str">
        <f t="shared" si="371"/>
        <v>Freiburg</v>
      </c>
      <c r="D383" s="3" t="s">
        <v>11</v>
      </c>
      <c r="E383" s="2" t="str">
        <f t="shared" si="372"/>
        <v>Union</v>
      </c>
      <c r="F383" s="29"/>
      <c r="G383" s="3" t="s">
        <v>12</v>
      </c>
      <c r="H383" s="30"/>
      <c r="I383" s="37"/>
      <c r="J383" s="38" t="str">
        <f t="shared" si="373"/>
        <v/>
      </c>
      <c r="K383" s="37"/>
      <c r="L383" s="38" t="str">
        <f t="shared" si="374"/>
        <v/>
      </c>
      <c r="M383" s="37"/>
      <c r="N383" s="38" t="str">
        <f t="shared" si="375"/>
        <v/>
      </c>
      <c r="O383" s="37"/>
      <c r="P383" s="38" t="str">
        <f t="shared" si="376"/>
        <v/>
      </c>
      <c r="Q383" s="37"/>
      <c r="R383" s="38" t="str">
        <f t="shared" si="377"/>
        <v/>
      </c>
      <c r="S383" s="37"/>
      <c r="T383" s="38" t="str">
        <f t="shared" si="378"/>
        <v/>
      </c>
      <c r="U383" s="37"/>
      <c r="V383" s="38" t="str">
        <f t="shared" si="379"/>
        <v/>
      </c>
      <c r="AF383" s="34"/>
      <c r="AG383" s="34"/>
      <c r="AH383" s="34"/>
      <c r="AI383" s="34"/>
      <c r="AJ383" s="34"/>
      <c r="DG383" s="8" t="str">
        <f t="shared" si="380"/>
        <v/>
      </c>
      <c r="DH383" s="3">
        <f t="shared" si="386"/>
        <v>7</v>
      </c>
      <c r="DN383" s="12">
        <f t="shared" si="381"/>
        <v>0</v>
      </c>
      <c r="DO383" s="5">
        <f t="shared" si="382"/>
        <v>0</v>
      </c>
      <c r="DP383" s="5" t="str">
        <f t="shared" si="383"/>
        <v/>
      </c>
      <c r="DQ383" s="5" t="str">
        <f t="shared" si="384"/>
        <v/>
      </c>
      <c r="DR383" s="5">
        <f t="shared" si="385"/>
        <v>0</v>
      </c>
    </row>
    <row r="384" spans="3:122" ht="11.25" customHeight="1" x14ac:dyDescent="0.2">
      <c r="C384" s="2" t="str">
        <f t="shared" si="371"/>
        <v>M'gladb.</v>
      </c>
      <c r="D384" s="3" t="s">
        <v>11</v>
      </c>
      <c r="E384" s="2" t="str">
        <f t="shared" si="372"/>
        <v>St. Pauli</v>
      </c>
      <c r="F384" s="29"/>
      <c r="G384" s="3" t="s">
        <v>12</v>
      </c>
      <c r="H384" s="30"/>
      <c r="I384" s="37"/>
      <c r="J384" s="38" t="str">
        <f t="shared" si="373"/>
        <v/>
      </c>
      <c r="K384" s="37"/>
      <c r="L384" s="38" t="str">
        <f t="shared" si="374"/>
        <v/>
      </c>
      <c r="M384" s="37"/>
      <c r="N384" s="38" t="str">
        <f t="shared" si="375"/>
        <v/>
      </c>
      <c r="O384" s="37"/>
      <c r="P384" s="38" t="str">
        <f t="shared" si="376"/>
        <v/>
      </c>
      <c r="Q384" s="37"/>
      <c r="R384" s="38" t="str">
        <f t="shared" si="377"/>
        <v/>
      </c>
      <c r="S384" s="37"/>
      <c r="T384" s="38" t="str">
        <f t="shared" si="378"/>
        <v/>
      </c>
      <c r="U384" s="37"/>
      <c r="V384" s="38" t="str">
        <f t="shared" si="379"/>
        <v/>
      </c>
      <c r="AF384" s="34"/>
      <c r="AG384" s="34"/>
      <c r="AH384" s="34"/>
      <c r="AI384" s="34"/>
      <c r="AJ384" s="34"/>
      <c r="DG384" s="8" t="str">
        <f t="shared" si="380"/>
        <v/>
      </c>
      <c r="DH384" s="3">
        <f t="shared" si="386"/>
        <v>7</v>
      </c>
      <c r="DN384" s="12">
        <f t="shared" si="381"/>
        <v>0</v>
      </c>
      <c r="DO384" s="5">
        <f t="shared" si="382"/>
        <v>0</v>
      </c>
      <c r="DP384" s="5" t="str">
        <f t="shared" si="383"/>
        <v/>
      </c>
      <c r="DQ384" s="5" t="str">
        <f t="shared" si="384"/>
        <v/>
      </c>
      <c r="DR384" s="5">
        <f t="shared" si="385"/>
        <v>0</v>
      </c>
    </row>
    <row r="385" spans="3:122" ht="11.25" customHeight="1" x14ac:dyDescent="0.2">
      <c r="C385" s="2" t="str">
        <f t="shared" si="371"/>
        <v>Frankfurt</v>
      </c>
      <c r="D385" s="3" t="s">
        <v>11</v>
      </c>
      <c r="E385" s="2" t="str">
        <f t="shared" si="372"/>
        <v>Heidenheim</v>
      </c>
      <c r="F385" s="29"/>
      <c r="G385" s="3" t="s">
        <v>12</v>
      </c>
      <c r="H385" s="30"/>
      <c r="I385" s="37"/>
      <c r="J385" s="38" t="str">
        <f t="shared" si="373"/>
        <v/>
      </c>
      <c r="K385" s="37"/>
      <c r="L385" s="38" t="str">
        <f t="shared" si="374"/>
        <v/>
      </c>
      <c r="M385" s="37"/>
      <c r="N385" s="38" t="str">
        <f t="shared" si="375"/>
        <v/>
      </c>
      <c r="O385" s="37"/>
      <c r="P385" s="38" t="str">
        <f t="shared" si="376"/>
        <v/>
      </c>
      <c r="Q385" s="37"/>
      <c r="R385" s="38" t="str">
        <f t="shared" si="377"/>
        <v/>
      </c>
      <c r="S385" s="37"/>
      <c r="T385" s="38" t="str">
        <f t="shared" si="378"/>
        <v/>
      </c>
      <c r="U385" s="37"/>
      <c r="V385" s="38" t="str">
        <f t="shared" si="379"/>
        <v/>
      </c>
      <c r="AF385" s="34"/>
      <c r="AG385" s="34"/>
      <c r="AH385" s="34"/>
      <c r="AI385" s="34"/>
      <c r="AJ385" s="34"/>
      <c r="DG385" s="8" t="str">
        <f t="shared" si="380"/>
        <v/>
      </c>
      <c r="DH385" s="3">
        <f t="shared" si="386"/>
        <v>7</v>
      </c>
      <c r="DN385" s="12">
        <f t="shared" si="381"/>
        <v>0</v>
      </c>
      <c r="DO385" s="5">
        <f t="shared" si="382"/>
        <v>0</v>
      </c>
      <c r="DP385" s="5" t="str">
        <f t="shared" si="383"/>
        <v/>
      </c>
      <c r="DQ385" s="5" t="str">
        <f t="shared" si="384"/>
        <v/>
      </c>
      <c r="DR385" s="5">
        <f t="shared" si="385"/>
        <v>0</v>
      </c>
    </row>
    <row r="386" spans="3:122" ht="11.25" customHeight="1" thickBot="1" x14ac:dyDescent="0.25">
      <c r="C386" s="2" t="str">
        <f t="shared" si="371"/>
        <v>HSV</v>
      </c>
      <c r="D386" s="3" t="s">
        <v>11</v>
      </c>
      <c r="E386" s="2" t="str">
        <f t="shared" si="372"/>
        <v>Köln</v>
      </c>
      <c r="F386" s="29"/>
      <c r="G386" s="3" t="s">
        <v>12</v>
      </c>
      <c r="H386" s="30"/>
      <c r="I386" s="37"/>
      <c r="J386" s="38" t="str">
        <f t="shared" si="373"/>
        <v/>
      </c>
      <c r="K386" s="37"/>
      <c r="L386" s="38" t="str">
        <f t="shared" si="374"/>
        <v/>
      </c>
      <c r="M386" s="37"/>
      <c r="N386" s="38" t="str">
        <f t="shared" si="375"/>
        <v/>
      </c>
      <c r="O386" s="37"/>
      <c r="P386" s="38" t="str">
        <f t="shared" si="376"/>
        <v/>
      </c>
      <c r="Q386" s="37"/>
      <c r="R386" s="38" t="str">
        <f t="shared" si="377"/>
        <v/>
      </c>
      <c r="S386" s="37"/>
      <c r="T386" s="38" t="str">
        <f t="shared" si="378"/>
        <v/>
      </c>
      <c r="U386" s="37"/>
      <c r="V386" s="38" t="str">
        <f t="shared" si="379"/>
        <v/>
      </c>
      <c r="AF386" s="34"/>
      <c r="AG386" s="34"/>
      <c r="AH386" s="34"/>
      <c r="AI386" s="34"/>
      <c r="AJ386" s="34"/>
      <c r="DG386" s="8" t="str">
        <f t="shared" si="380"/>
        <v/>
      </c>
      <c r="DH386" s="3">
        <f t="shared" si="386"/>
        <v>7</v>
      </c>
      <c r="DN386" s="12">
        <f t="shared" si="381"/>
        <v>0</v>
      </c>
      <c r="DO386" s="5">
        <f t="shared" si="382"/>
        <v>0</v>
      </c>
      <c r="DP386" s="5" t="str">
        <f t="shared" si="383"/>
        <v/>
      </c>
      <c r="DQ386" s="5" t="str">
        <f t="shared" si="384"/>
        <v/>
      </c>
      <c r="DR386" s="5">
        <f t="shared" si="385"/>
        <v>0</v>
      </c>
    </row>
    <row r="387" spans="3:122" ht="11.25" customHeight="1" thickTop="1" x14ac:dyDescent="0.2">
      <c r="C387" s="41">
        <f>(I387+K387+M387+O387+Q387+S387+U387)</f>
        <v>0</v>
      </c>
      <c r="E387" s="42">
        <f>C387/8</f>
        <v>0</v>
      </c>
      <c r="F387" s="41">
        <f>SUM(F378:F386)</f>
        <v>0</v>
      </c>
      <c r="G387" s="2"/>
      <c r="H387" s="43">
        <f>SUM(H378:H386)</f>
        <v>0</v>
      </c>
      <c r="I387" s="44">
        <f>COUNTIF(J378:J386,"&gt;0")</f>
        <v>0</v>
      </c>
      <c r="J387" s="45">
        <f>I387+J372</f>
        <v>0</v>
      </c>
      <c r="K387" s="44">
        <f>COUNTIF(L378:L386,"&gt;0")</f>
        <v>0</v>
      </c>
      <c r="L387" s="45">
        <f>K387+L372</f>
        <v>0</v>
      </c>
      <c r="M387" s="44">
        <f>COUNTIF(N378:N386,"&gt;0")</f>
        <v>0</v>
      </c>
      <c r="N387" s="45">
        <f>M387+N372</f>
        <v>0</v>
      </c>
      <c r="O387" s="44">
        <f>COUNTIF(P378:P386,"&gt;0")</f>
        <v>0</v>
      </c>
      <c r="P387" s="45">
        <f>O387+P372</f>
        <v>0</v>
      </c>
      <c r="Q387" s="44">
        <f>COUNTIF(R378:R386,"&gt;0")</f>
        <v>0</v>
      </c>
      <c r="R387" s="45">
        <f>Q387+R372</f>
        <v>0</v>
      </c>
      <c r="S387" s="44">
        <f>COUNTIF(T378:T386,"&gt;0")</f>
        <v>0</v>
      </c>
      <c r="T387" s="45">
        <f>S387+T372</f>
        <v>0</v>
      </c>
      <c r="U387" s="44">
        <f>COUNTIF(V378:V386,"&gt;0")</f>
        <v>0</v>
      </c>
      <c r="V387" s="45">
        <f>U387+V372</f>
        <v>0</v>
      </c>
      <c r="AF387" s="34"/>
      <c r="AG387" s="34"/>
      <c r="AH387" s="34"/>
      <c r="AI387" s="34"/>
      <c r="AJ387" s="34"/>
      <c r="DN387" s="12"/>
    </row>
    <row r="388" spans="3:122" ht="11.25" customHeight="1" x14ac:dyDescent="0.2">
      <c r="C388" s="41">
        <f>(I388+K388+M388+O388+Q388+S388+U388)</f>
        <v>0</v>
      </c>
      <c r="E388" s="42">
        <f>C388/8</f>
        <v>0</v>
      </c>
      <c r="F388" s="137">
        <f>F387+H387</f>
        <v>0</v>
      </c>
      <c r="G388" s="137"/>
      <c r="H388" s="137"/>
      <c r="I388" s="46">
        <f>SUM(J378:J386)</f>
        <v>0</v>
      </c>
      <c r="J388" s="47">
        <f>I388+J373</f>
        <v>0</v>
      </c>
      <c r="K388" s="46">
        <f>SUM(L378:L386)</f>
        <v>0</v>
      </c>
      <c r="L388" s="47">
        <f>K388+L373</f>
        <v>0</v>
      </c>
      <c r="M388" s="46">
        <f>SUM(N378:N386)</f>
        <v>0</v>
      </c>
      <c r="N388" s="47">
        <f>M388+N373</f>
        <v>0</v>
      </c>
      <c r="O388" s="46">
        <f>SUM(P378:P386)</f>
        <v>0</v>
      </c>
      <c r="P388" s="47">
        <f>O388+P373</f>
        <v>0</v>
      </c>
      <c r="Q388" s="46">
        <f>SUM(R378:R386)</f>
        <v>0</v>
      </c>
      <c r="R388" s="47">
        <f>Q388+R373</f>
        <v>0</v>
      </c>
      <c r="S388" s="46">
        <f>SUM(T378:T386)</f>
        <v>0</v>
      </c>
      <c r="T388" s="47">
        <f>S388+T373</f>
        <v>0</v>
      </c>
      <c r="U388" s="46">
        <f>SUM(V378:V386)</f>
        <v>0</v>
      </c>
      <c r="V388" s="47">
        <f>U388+V373</f>
        <v>0</v>
      </c>
      <c r="AF388" s="34"/>
      <c r="AG388" s="34"/>
      <c r="AH388" s="34"/>
      <c r="AI388" s="34"/>
      <c r="AJ388" s="34"/>
      <c r="DN388" s="12"/>
    </row>
    <row r="389" spans="3:122" ht="11.25" customHeight="1" thickBot="1" x14ac:dyDescent="0.25">
      <c r="C389" s="41">
        <f>(I389+K389+M389+O389+Q389+S389+U389)</f>
        <v>0</v>
      </c>
      <c r="E389" s="42">
        <f>C389/8</f>
        <v>0</v>
      </c>
      <c r="F389" s="138">
        <f>F388+F374</f>
        <v>0</v>
      </c>
      <c r="G389" s="138"/>
      <c r="H389" s="138"/>
      <c r="I389" s="48">
        <f>I387*I388</f>
        <v>0</v>
      </c>
      <c r="J389" s="49">
        <f>I389+J374</f>
        <v>0</v>
      </c>
      <c r="K389" s="48">
        <f>K387*K388</f>
        <v>0</v>
      </c>
      <c r="L389" s="49">
        <f>K389+L374</f>
        <v>0</v>
      </c>
      <c r="M389" s="48">
        <f>M387*M388</f>
        <v>0</v>
      </c>
      <c r="N389" s="49">
        <f>M389+N374</f>
        <v>0</v>
      </c>
      <c r="O389" s="48">
        <f>O387*O388</f>
        <v>0</v>
      </c>
      <c r="P389" s="49">
        <f>O389+P374</f>
        <v>0</v>
      </c>
      <c r="Q389" s="48">
        <f>Q387*Q388</f>
        <v>0</v>
      </c>
      <c r="R389" s="49">
        <f>Q389+R374</f>
        <v>0</v>
      </c>
      <c r="S389" s="48">
        <f>S387*S388</f>
        <v>0</v>
      </c>
      <c r="T389" s="49">
        <f>S389+T374</f>
        <v>0</v>
      </c>
      <c r="U389" s="48">
        <f>U387*U388</f>
        <v>0</v>
      </c>
      <c r="V389" s="49">
        <f>U389+V374</f>
        <v>0</v>
      </c>
      <c r="AF389" s="34"/>
      <c r="AG389" s="34"/>
      <c r="AH389" s="34"/>
      <c r="AI389" s="34"/>
      <c r="AJ389" s="34"/>
      <c r="AL389" s="5">
        <f>MAX(I389,K389,M389,O389,Q389,S389,U389)</f>
        <v>0</v>
      </c>
      <c r="AM389" s="5">
        <f>MIN(I389,K389,M389,O389,Q389,S389,U389)</f>
        <v>0</v>
      </c>
      <c r="AN389" s="5"/>
      <c r="AO389" s="5"/>
      <c r="AP389" s="5"/>
      <c r="AQ389" s="5"/>
      <c r="AR389" s="5"/>
      <c r="AS389" s="13"/>
      <c r="AT389" s="5"/>
      <c r="AU389" s="5"/>
      <c r="AV389" s="5"/>
      <c r="AW389" s="5"/>
      <c r="AX389" s="5"/>
      <c r="AY389" s="5"/>
      <c r="AZ389" s="5"/>
      <c r="BA389" s="5"/>
      <c r="BB389" s="5"/>
      <c r="BD389" s="5"/>
      <c r="BE389" s="5"/>
      <c r="BF389" s="14"/>
      <c r="BG389" s="13"/>
      <c r="BH389" s="5"/>
      <c r="BI389" s="14"/>
      <c r="BJ389" s="13"/>
      <c r="BK389" s="5"/>
      <c r="BL389" s="14"/>
      <c r="BM389" s="13"/>
      <c r="BN389" s="5"/>
      <c r="BO389" s="14"/>
      <c r="BP389" s="13"/>
      <c r="BQ389" s="5"/>
      <c r="BR389" s="14"/>
      <c r="BS389" s="13"/>
      <c r="BT389" s="5"/>
      <c r="BU389" s="14"/>
      <c r="BV389" s="13"/>
      <c r="BW389" s="5"/>
      <c r="BX389" s="14"/>
      <c r="BY389" s="13"/>
      <c r="BZ389" s="5"/>
      <c r="CA389" s="14"/>
      <c r="CB389" s="13"/>
      <c r="CC389" s="5"/>
      <c r="CD389" s="14"/>
      <c r="CE389" s="13"/>
      <c r="CF389" s="5"/>
      <c r="CG389" s="14"/>
      <c r="CH389" s="13"/>
      <c r="CI389" s="5"/>
      <c r="CJ389" s="14"/>
      <c r="CK389" s="13"/>
      <c r="CL389" s="5"/>
      <c r="CM389" s="14"/>
      <c r="CN389" s="13"/>
      <c r="CO389" s="5"/>
      <c r="CP389" s="14"/>
      <c r="CQ389" s="13"/>
      <c r="CR389" s="5"/>
      <c r="CS389" s="14"/>
      <c r="CT389" s="13"/>
      <c r="CU389" s="5"/>
      <c r="CV389" s="14"/>
      <c r="CW389" s="13"/>
      <c r="CX389" s="5"/>
      <c r="CY389" s="14"/>
      <c r="CZ389" s="13"/>
      <c r="DA389" s="5"/>
      <c r="DB389" s="14"/>
      <c r="DC389" s="13"/>
      <c r="DD389" s="5"/>
      <c r="DE389" s="14"/>
      <c r="DF389" s="5"/>
      <c r="DG389" s="5"/>
      <c r="DH389" s="5"/>
      <c r="DN389" s="12"/>
    </row>
    <row r="390" spans="3:122" ht="11.25" customHeight="1" thickTop="1" x14ac:dyDescent="0.2">
      <c r="I390" s="50"/>
      <c r="J390" s="50">
        <f>L389-J389</f>
        <v>0</v>
      </c>
      <c r="K390" s="50"/>
      <c r="L390" s="50"/>
      <c r="M390" s="50"/>
      <c r="N390" s="50">
        <f>L389-N389</f>
        <v>0</v>
      </c>
      <c r="O390" s="50"/>
      <c r="P390" s="50">
        <f>L389-P389</f>
        <v>0</v>
      </c>
      <c r="Q390" s="50"/>
      <c r="R390" s="50">
        <f>L389-R389</f>
        <v>0</v>
      </c>
      <c r="S390" s="50"/>
      <c r="T390" s="50">
        <f>L389-T389</f>
        <v>0</v>
      </c>
      <c r="U390" s="50"/>
      <c r="V390" s="50">
        <f>L389-V389</f>
        <v>0</v>
      </c>
    </row>
    <row r="391" spans="3:122" ht="11.25" customHeight="1" x14ac:dyDescent="0.2">
      <c r="I391" s="139" t="str">
        <f>ß101</f>
        <v>Kropp</v>
      </c>
      <c r="J391" s="139"/>
      <c r="K391" s="139" t="str">
        <f>ß102</f>
        <v>Nörnberg</v>
      </c>
      <c r="L391" s="139"/>
      <c r="M391" s="139" t="str">
        <f>ß103</f>
        <v>Bübel</v>
      </c>
      <c r="N391" s="139"/>
      <c r="O391" s="139" t="str">
        <f>ß104</f>
        <v>Schwicht.</v>
      </c>
      <c r="P391" s="139"/>
      <c r="Q391" s="139" t="str">
        <f>ß105</f>
        <v>Rontzko.</v>
      </c>
      <c r="R391" s="139"/>
      <c r="S391" s="139" t="str">
        <f>ß106</f>
        <v>Hauschildt</v>
      </c>
      <c r="T391" s="139"/>
      <c r="U391" s="139" t="str">
        <f>ß107</f>
        <v>Zerres</v>
      </c>
      <c r="V391" s="139"/>
      <c r="AF391" s="11"/>
      <c r="AG391" s="11"/>
      <c r="AH391" s="11"/>
      <c r="AI391" s="11"/>
      <c r="AJ391" s="11"/>
      <c r="AL391" s="5" t="str">
        <f>IF($I404=$AL404,I391,"x")</f>
        <v>Kropp</v>
      </c>
      <c r="AM391" s="5" t="str">
        <f>IF($K404=$AL404,K391,"x")</f>
        <v>Nörnberg</v>
      </c>
      <c r="AN391" s="5" t="str">
        <f>IF($M404=$AL404,M391,"x")</f>
        <v>Bübel</v>
      </c>
      <c r="AO391" s="5" t="str">
        <f>IF($O404=$AL404,O391,"x")</f>
        <v>Schwicht.</v>
      </c>
      <c r="AP391" s="5" t="str">
        <f>IF($Q404=$AL404,Q391,"x")</f>
        <v>Rontzko.</v>
      </c>
      <c r="AQ391" s="5" t="str">
        <f>IF($S404=$AL404,S391,"x")</f>
        <v>Hauschildt</v>
      </c>
      <c r="AR391" s="5" t="str">
        <f>IF($U404=$AL404,U391,"x")</f>
        <v>Zerres</v>
      </c>
      <c r="AS391" s="13" t="str">
        <f>IF($I404=$AM404,I391,"x")</f>
        <v>Kropp</v>
      </c>
      <c r="AT391" s="5" t="str">
        <f>IF($K404=$AM404,K391,"x")</f>
        <v>Nörnberg</v>
      </c>
      <c r="AU391" s="5" t="str">
        <f>IF($M404=$AM404,M391,"x")</f>
        <v>Bübel</v>
      </c>
      <c r="AV391" s="5" t="str">
        <f>IF($O404=$AM404,O391,"x")</f>
        <v>Schwicht.</v>
      </c>
      <c r="AW391" s="5" t="str">
        <f>IF($Q404=$AM404,Q391,"x")</f>
        <v>Rontzko.</v>
      </c>
      <c r="AX391" s="5" t="str">
        <f>IF($S404=$AM404,S391,"x")</f>
        <v>Hauschildt</v>
      </c>
      <c r="AY391" s="5" t="str">
        <f>IF($U404=$AM404,U391,"x")</f>
        <v>Zerres</v>
      </c>
      <c r="BD391" s="140" t="str">
        <f>ß01</f>
        <v>Bayern</v>
      </c>
      <c r="BE391" s="140"/>
      <c r="BF391" s="140"/>
      <c r="BG391" s="141" t="str">
        <f>ß02</f>
        <v>Leipzig</v>
      </c>
      <c r="BH391" s="141"/>
      <c r="BI391" s="141"/>
      <c r="BJ391" s="141" t="str">
        <f>ß03</f>
        <v>Leverk.</v>
      </c>
      <c r="BK391" s="141"/>
      <c r="BL391" s="141"/>
      <c r="BM391" s="141" t="str">
        <f>ß04</f>
        <v>Hoffenheim</v>
      </c>
      <c r="BN391" s="141"/>
      <c r="BO391" s="141"/>
      <c r="BP391" s="141" t="str">
        <f>ß05</f>
        <v>Frankfurt</v>
      </c>
      <c r="BQ391" s="141"/>
      <c r="BR391" s="141"/>
      <c r="BS391" s="141" t="str">
        <f>ß06</f>
        <v>Werder</v>
      </c>
      <c r="BT391" s="141"/>
      <c r="BU391" s="141"/>
      <c r="BV391" s="141" t="str">
        <f>ß07</f>
        <v>Freiburg</v>
      </c>
      <c r="BW391" s="141"/>
      <c r="BX391" s="141"/>
      <c r="BY391" s="141" t="str">
        <f>ß08</f>
        <v>Augsburg</v>
      </c>
      <c r="BZ391" s="141"/>
      <c r="CA391" s="141"/>
      <c r="CB391" s="141" t="str">
        <f>ß09</f>
        <v>Mainz</v>
      </c>
      <c r="CC391" s="141"/>
      <c r="CD391" s="141"/>
      <c r="CE391" s="141" t="str">
        <f>ß10</f>
        <v>Köln</v>
      </c>
      <c r="CF391" s="141"/>
      <c r="CG391" s="141"/>
      <c r="CH391" s="141" t="str">
        <f>ß11</f>
        <v>M'gladb.</v>
      </c>
      <c r="CI391" s="141"/>
      <c r="CJ391" s="141"/>
      <c r="CK391" s="141" t="str">
        <f>ß12</f>
        <v>HSV</v>
      </c>
      <c r="CL391" s="141"/>
      <c r="CM391" s="141"/>
      <c r="CN391" s="141" t="str">
        <f>ß13</f>
        <v>Union</v>
      </c>
      <c r="CO391" s="141"/>
      <c r="CP391" s="141"/>
      <c r="CQ391" s="141" t="str">
        <f>ß14</f>
        <v>Stuttgart</v>
      </c>
      <c r="CR391" s="141"/>
      <c r="CS391" s="141"/>
      <c r="CT391" s="141" t="str">
        <f>ß15</f>
        <v>St. Pauli</v>
      </c>
      <c r="CU391" s="141"/>
      <c r="CV391" s="141"/>
      <c r="CW391" s="141" t="str">
        <f>ß16</f>
        <v>Dortmund</v>
      </c>
      <c r="CX391" s="141"/>
      <c r="CY391" s="141"/>
      <c r="CZ391" s="141" t="str">
        <f>ß17</f>
        <v>Heidenheim</v>
      </c>
      <c r="DA391" s="141"/>
      <c r="DB391" s="141"/>
      <c r="DC391" s="141" t="str">
        <f>ß18</f>
        <v>Wolfsburg</v>
      </c>
      <c r="DD391" s="141"/>
      <c r="DE391" s="141"/>
    </row>
    <row r="392" spans="3:122" ht="11.25" customHeight="1" x14ac:dyDescent="0.2">
      <c r="C392" s="16" t="str">
        <f>Mannschaften!F27</f>
        <v>27. Spieltag</v>
      </c>
      <c r="D392" s="11"/>
      <c r="E392" s="17" t="str">
        <f>Mannschaften!G27</f>
        <v>20.-22.3.26</v>
      </c>
      <c r="I392" s="19">
        <f>RANK(Rang!A27,Rang!A27:G27)</f>
        <v>1</v>
      </c>
      <c r="J392" s="20">
        <f>RANK(Rang!H27,Rang!H27:N27)</f>
        <v>1</v>
      </c>
      <c r="K392" s="19">
        <f>RANK(Rang!B27,Rang!A27:G27)</f>
        <v>1</v>
      </c>
      <c r="L392" s="20">
        <f>RANK(Rang!I27,Rang!H27:N27)</f>
        <v>1</v>
      </c>
      <c r="M392" s="19">
        <f>RANK(Rang!C27,Rang!A27:G27)</f>
        <v>1</v>
      </c>
      <c r="N392" s="20">
        <f>RANK(Rang!J27,Rang!H27:N27)</f>
        <v>1</v>
      </c>
      <c r="O392" s="19">
        <f>RANK(Rang!D27,Rang!A27:G27)</f>
        <v>1</v>
      </c>
      <c r="P392" s="20">
        <f>RANK(Rang!K27,Rang!H27:N27)</f>
        <v>1</v>
      </c>
      <c r="Q392" s="19">
        <f>RANK(Rang!E27,Rang!A27:G27)</f>
        <v>1</v>
      </c>
      <c r="R392" s="20">
        <f>RANK(Rang!L27,Rang!H27:N27)</f>
        <v>1</v>
      </c>
      <c r="S392" s="19">
        <f>RANK(Rang!F27,Rang!A27:G27)</f>
        <v>1</v>
      </c>
      <c r="T392" s="20">
        <f>RANK(Rang!M27,Rang!H27:N27)</f>
        <v>1</v>
      </c>
      <c r="U392" s="19">
        <f>RANK(Rang!G27,Rang!A27:G27)</f>
        <v>1</v>
      </c>
      <c r="V392" s="20">
        <f>RANK(Rang!N27,Rang!H27:N27)</f>
        <v>1</v>
      </c>
      <c r="AF392" s="22"/>
      <c r="AG392" s="22"/>
      <c r="AH392" s="22"/>
      <c r="AI392" s="22"/>
      <c r="AJ392" s="22"/>
      <c r="AK392" s="21"/>
      <c r="AL392" s="21"/>
      <c r="AM392" s="21"/>
      <c r="AN392" s="21"/>
      <c r="AO392" s="21"/>
      <c r="AP392" s="21"/>
      <c r="AQ392" s="21"/>
      <c r="AR392" s="21"/>
      <c r="AS392" s="24"/>
      <c r="AT392" s="21"/>
      <c r="AU392" s="21"/>
      <c r="AV392" s="21"/>
      <c r="AW392" s="21"/>
      <c r="AX392" s="21"/>
      <c r="AY392" s="21"/>
      <c r="AZ392" s="21"/>
      <c r="BA392" s="21"/>
      <c r="BB392" s="21"/>
      <c r="BD392" s="25" t="s">
        <v>4</v>
      </c>
      <c r="BE392" s="25" t="s">
        <v>5</v>
      </c>
      <c r="BF392" s="26" t="s">
        <v>6</v>
      </c>
      <c r="BG392" s="27" t="s">
        <v>4</v>
      </c>
      <c r="BH392" s="25" t="s">
        <v>5</v>
      </c>
      <c r="BI392" s="26" t="s">
        <v>6</v>
      </c>
      <c r="BJ392" s="27" t="s">
        <v>4</v>
      </c>
      <c r="BK392" s="25" t="s">
        <v>5</v>
      </c>
      <c r="BL392" s="26" t="s">
        <v>6</v>
      </c>
      <c r="BM392" s="27" t="s">
        <v>4</v>
      </c>
      <c r="BN392" s="25" t="s">
        <v>5</v>
      </c>
      <c r="BO392" s="26" t="s">
        <v>6</v>
      </c>
      <c r="BP392" s="27" t="s">
        <v>4</v>
      </c>
      <c r="BQ392" s="25" t="s">
        <v>5</v>
      </c>
      <c r="BR392" s="26" t="s">
        <v>6</v>
      </c>
      <c r="BS392" s="27" t="s">
        <v>4</v>
      </c>
      <c r="BT392" s="25" t="s">
        <v>5</v>
      </c>
      <c r="BU392" s="26" t="s">
        <v>6</v>
      </c>
      <c r="BV392" s="27" t="s">
        <v>4</v>
      </c>
      <c r="BW392" s="25" t="s">
        <v>5</v>
      </c>
      <c r="BX392" s="26" t="s">
        <v>6</v>
      </c>
      <c r="BY392" s="27" t="s">
        <v>4</v>
      </c>
      <c r="BZ392" s="25" t="s">
        <v>5</v>
      </c>
      <c r="CA392" s="26" t="s">
        <v>6</v>
      </c>
      <c r="CB392" s="27" t="s">
        <v>4</v>
      </c>
      <c r="CC392" s="25" t="s">
        <v>5</v>
      </c>
      <c r="CD392" s="26" t="s">
        <v>6</v>
      </c>
      <c r="CE392" s="27" t="s">
        <v>4</v>
      </c>
      <c r="CF392" s="25" t="s">
        <v>5</v>
      </c>
      <c r="CG392" s="26" t="s">
        <v>6</v>
      </c>
      <c r="CH392" s="27" t="s">
        <v>4</v>
      </c>
      <c r="CI392" s="25" t="s">
        <v>5</v>
      </c>
      <c r="CJ392" s="26" t="s">
        <v>6</v>
      </c>
      <c r="CK392" s="27" t="s">
        <v>4</v>
      </c>
      <c r="CL392" s="25" t="s">
        <v>5</v>
      </c>
      <c r="CM392" s="26" t="s">
        <v>6</v>
      </c>
      <c r="CN392" s="27" t="s">
        <v>4</v>
      </c>
      <c r="CO392" s="25" t="s">
        <v>5</v>
      </c>
      <c r="CP392" s="26" t="s">
        <v>6</v>
      </c>
      <c r="CQ392" s="27" t="s">
        <v>4</v>
      </c>
      <c r="CR392" s="25" t="s">
        <v>5</v>
      </c>
      <c r="CS392" s="26" t="s">
        <v>6</v>
      </c>
      <c r="CT392" s="27" t="s">
        <v>4</v>
      </c>
      <c r="CU392" s="25" t="s">
        <v>5</v>
      </c>
      <c r="CV392" s="26" t="s">
        <v>6</v>
      </c>
      <c r="CW392" s="27" t="s">
        <v>4</v>
      </c>
      <c r="CX392" s="25" t="s">
        <v>5</v>
      </c>
      <c r="CY392" s="26" t="s">
        <v>6</v>
      </c>
      <c r="CZ392" s="27" t="s">
        <v>4</v>
      </c>
      <c r="DA392" s="25" t="s">
        <v>5</v>
      </c>
      <c r="DB392" s="26" t="s">
        <v>6</v>
      </c>
      <c r="DC392" s="27" t="s">
        <v>4</v>
      </c>
      <c r="DD392" s="25" t="s">
        <v>5</v>
      </c>
      <c r="DE392" s="26" t="s">
        <v>6</v>
      </c>
      <c r="DF392" s="21"/>
      <c r="DG392" s="21"/>
      <c r="DH392" s="21"/>
      <c r="DN392" s="136" t="s">
        <v>7</v>
      </c>
      <c r="DO392" s="136"/>
      <c r="DP392" s="136" t="s">
        <v>8</v>
      </c>
      <c r="DQ392" s="136"/>
      <c r="DR392" s="28"/>
    </row>
    <row r="393" spans="3:122" ht="11.25" customHeight="1" x14ac:dyDescent="0.2">
      <c r="C393" s="2" t="str">
        <f t="shared" ref="C393:C401" si="387">E138</f>
        <v>Heidenheim</v>
      </c>
      <c r="D393" s="3" t="s">
        <v>11</v>
      </c>
      <c r="E393" s="2" t="str">
        <f t="shared" ref="E393:E401" si="388">C138</f>
        <v>Leverk.</v>
      </c>
      <c r="F393" s="29"/>
      <c r="G393" s="3" t="s">
        <v>12</v>
      </c>
      <c r="H393" s="30"/>
      <c r="I393" s="31"/>
      <c r="J393" s="32" t="str">
        <f t="shared" ref="J393:J401" si="389">IF($F393="","",(IF(I393="","",IF(I393=$DG393,(VLOOKUP($DH393,$DJ$3:$DK$11,2,FALSE())),0))))</f>
        <v/>
      </c>
      <c r="K393" s="31"/>
      <c r="L393" s="32" t="str">
        <f t="shared" ref="L393:L401" si="390">IF($F393="","",(IF(K393="","",IF(K393=$DG393,(VLOOKUP($DH393,$DJ$3:$DK$11,2,FALSE())),0))))</f>
        <v/>
      </c>
      <c r="M393" s="31"/>
      <c r="N393" s="32" t="str">
        <f t="shared" ref="N393:N401" si="391">IF($F393="","",(IF(M393="","",IF(M393=$DG393,(VLOOKUP($DH393,$DJ$3:$DK$11,2,FALSE())),0))))</f>
        <v/>
      </c>
      <c r="O393" s="31"/>
      <c r="P393" s="32" t="str">
        <f t="shared" ref="P393:P401" si="392">IF($F393="","",(IF(O393="","",IF(O393=$DG393,(VLOOKUP($DH393,$DJ$3:$DK$11,2,FALSE())),0))))</f>
        <v/>
      </c>
      <c r="Q393" s="31"/>
      <c r="R393" s="32" t="str">
        <f t="shared" ref="R393:R401" si="393">IF($F393="","",(IF(Q393="","",IF(Q393=$DG393,(VLOOKUP($DH393,$DJ$3:$DK$11,2,FALSE())),0))))</f>
        <v/>
      </c>
      <c r="S393" s="31"/>
      <c r="T393" s="32" t="str">
        <f t="shared" ref="T393:T401" si="394">IF($F393="","",(IF(S393="","",IF(S393=$DG393,(VLOOKUP($DH393,$DJ$3:$DK$11,2,FALSE())),0))))</f>
        <v/>
      </c>
      <c r="U393" s="31"/>
      <c r="V393" s="32" t="str">
        <f t="shared" ref="V393:V401" si="395">IF($F393="","",(IF(U393="","",IF(U393=$DG393,(VLOOKUP($DH393,$DJ$3:$DK$11,2,FALSE())),0))))</f>
        <v/>
      </c>
      <c r="AF393" s="34"/>
      <c r="AG393" s="34"/>
      <c r="AH393" s="34"/>
      <c r="AI393" s="34"/>
      <c r="AJ393" s="34"/>
      <c r="AN393" s="5"/>
      <c r="AO393" s="5"/>
      <c r="AP393" s="5"/>
      <c r="AQ393" s="5"/>
      <c r="AR393" s="5"/>
      <c r="AS393" s="13"/>
      <c r="AT393" s="5"/>
      <c r="AU393" s="5"/>
      <c r="AV393" s="5"/>
      <c r="AW393" s="5"/>
      <c r="AX393" s="5"/>
      <c r="AY393" s="5"/>
      <c r="BC393" s="6">
        <v>392</v>
      </c>
      <c r="BD393" s="35">
        <f>IF(ISERROR(MATCH(ß01,$C393:$C401,0)),"",MATCH(ß01,$C393:$C401,0))</f>
        <v>7</v>
      </c>
      <c r="BE393" s="35" t="str">
        <f>IF(ISERROR(MATCH(ß01,$E393:$E401,0)),"",MATCH(ß01,$E393:$E401,0))</f>
        <v/>
      </c>
      <c r="BF393" s="15">
        <f>SUM(BD393:BE393)+BC393</f>
        <v>399</v>
      </c>
      <c r="BG393" s="36">
        <f>IF(ISERROR(MATCH(ß02,$C393:$C401,0)),"",MATCH(ß02,$C393:$C401,0))</f>
        <v>8</v>
      </c>
      <c r="BH393" s="35" t="str">
        <f>IF(ISERROR(MATCH(ß02,$E393:$E401,0)),"",MATCH(ß02,$E393:$E401,0))</f>
        <v/>
      </c>
      <c r="BI393" s="15">
        <f>SUM(BG393:BH393)+BC393</f>
        <v>400</v>
      </c>
      <c r="BJ393" s="36" t="str">
        <f>IF(ISERROR(MATCH(ß03,$C393:$C401,0)),"",MATCH(ß03,$C393:$C401,0))</f>
        <v/>
      </c>
      <c r="BK393" s="35">
        <f>IF(ISERROR(MATCH(ß03,$E393:$E401,0)),"",MATCH(ß03,$E393:$E401,0))</f>
        <v>1</v>
      </c>
      <c r="BL393" s="15">
        <f>SUM(BJ393:BK393)+BC393</f>
        <v>393</v>
      </c>
      <c r="BM393" s="36" t="str">
        <f>IF(ISERROR(MATCH(ß04,$C393:$C401,0)),"",MATCH(ß04,$C393:$C401,0))</f>
        <v/>
      </c>
      <c r="BN393" s="35">
        <f>IF(ISERROR(MATCH(ß04,$E393:$E401,0)),"",MATCH(ß04,$E393:$E401,0))</f>
        <v>8</v>
      </c>
      <c r="BO393" s="15">
        <f>SUM(BM393:BN393)+BC393</f>
        <v>400</v>
      </c>
      <c r="BP393" s="36" t="str">
        <f>IF(ISERROR(MATCH(ß05,$C393:$C401,0)),"",MATCH(ß05,$C393:$C401,0))</f>
        <v/>
      </c>
      <c r="BQ393" s="35">
        <f>IF(ISERROR(MATCH(ß05,$E393:$E401,0)),"",MATCH(ß05,$E393:$E401,0))</f>
        <v>2</v>
      </c>
      <c r="BR393" s="15">
        <f>SUM(BP393:BQ393)+BC393</f>
        <v>394</v>
      </c>
      <c r="BS393" s="36" t="str">
        <f>IF(ISERROR(MATCH(ß06,$C393:$C401,0)),"",MATCH(ß06,$C393:$C401,0))</f>
        <v/>
      </c>
      <c r="BT393" s="35">
        <f>IF(ISERROR(MATCH(ß06,$E393:$E401,0)),"",MATCH(ß06,$E393:$E401,0))</f>
        <v>4</v>
      </c>
      <c r="BU393" s="15">
        <f>SUM(BS393:BT393)+BC393</f>
        <v>396</v>
      </c>
      <c r="BV393" s="36" t="str">
        <f>IF(ISERROR(MATCH(ß07,$C393:$C401,0)),"",MATCH(ß07,$C393:$C401,0))</f>
        <v/>
      </c>
      <c r="BW393" s="35">
        <f>IF(ISERROR(MATCH(ß07,$E393:$E401,0)),"",MATCH(ß07,$E393:$E401,0))</f>
        <v>3</v>
      </c>
      <c r="BX393" s="15">
        <f>SUM(BV393:BW393)+BC393</f>
        <v>395</v>
      </c>
      <c r="BY393" s="36">
        <f>IF(ISERROR(MATCH(ß08,$C393:$C401,0)),"",MATCH(ß08,$C393:$C401,0))</f>
        <v>5</v>
      </c>
      <c r="BZ393" s="35" t="str">
        <f>IF(ISERROR(MATCH(ß08,$E393:$E401,0)),"",MATCH(ß08,$E393:$E401,0))</f>
        <v/>
      </c>
      <c r="CA393" s="15">
        <f>SUM(BY393:BZ393)+BC393</f>
        <v>397</v>
      </c>
      <c r="CB393" s="36">
        <f>IF(ISERROR(MATCH(ß09,$C393:$C401,0)),"",MATCH(ß09,$C393:$C401,0))</f>
        <v>2</v>
      </c>
      <c r="CC393" s="35" t="str">
        <f>IF(ISERROR(MATCH(ß09,$E393:$E401,0)),"",MATCH(ß09,$E393:$E401,0))</f>
        <v/>
      </c>
      <c r="CD393" s="15">
        <f>SUM(CB393:CC393)+BC393</f>
        <v>394</v>
      </c>
      <c r="CE393" s="36">
        <f>IF(ISERROR(MATCH(ß10,$C393:$C401,0)),"",MATCH(ß10,$C393:$C401,0))</f>
        <v>6</v>
      </c>
      <c r="CF393" s="35" t="str">
        <f>IF(ISERROR(MATCH(ß10,$E393:$E401,0)),"",MATCH(ß10,$E393:$E401,0))</f>
        <v/>
      </c>
      <c r="CG393" s="15">
        <f>SUM(CE393:CF393)+BC393</f>
        <v>398</v>
      </c>
      <c r="CH393" s="36" t="str">
        <f>IF(ISERROR(MATCH(ß11,$C393:$C401,0)),"",MATCH(ß11,$C393:$C401,0))</f>
        <v/>
      </c>
      <c r="CI393" s="35">
        <f>IF(ISERROR(MATCH(ß11,$E393:$E401,0)),"",MATCH(ß11,$E393:$E401,0))</f>
        <v>6</v>
      </c>
      <c r="CJ393" s="15">
        <f>SUM(CH393:CI393)+BC393</f>
        <v>398</v>
      </c>
      <c r="CK393" s="36" t="str">
        <f>IF(ISERROR(MATCH(ß12,$C393:$C401,0)),"",MATCH(ß12,$C393:$C401,0))</f>
        <v/>
      </c>
      <c r="CL393" s="35">
        <f>IF(ISERROR(MATCH(ß12,$E393:$E401,0)),"",MATCH(ß12,$E393:$E401,0))</f>
        <v>9</v>
      </c>
      <c r="CM393" s="15">
        <f>SUM(CK393:CL393)+BC393</f>
        <v>401</v>
      </c>
      <c r="CN393" s="36" t="str">
        <f>IF(ISERROR(MATCH(ß13,$C393:$C401,0)),"",MATCH(ß13,$C393:$C401,0))</f>
        <v/>
      </c>
      <c r="CO393" s="35">
        <f>IF(ISERROR(MATCH(ß13,$E393:$E401,0)),"",MATCH(ß13,$E393:$E401,0))</f>
        <v>7</v>
      </c>
      <c r="CP393" s="15">
        <f>SUM(CN393:CO393)+BC393</f>
        <v>399</v>
      </c>
      <c r="CQ393" s="36" t="str">
        <f>IF(ISERROR(MATCH(ß14,$C393:$C401,0)),"",MATCH(ß14,$C393:$C401,0))</f>
        <v/>
      </c>
      <c r="CR393" s="35">
        <f>IF(ISERROR(MATCH(ß14,$E393:$E401,0)),"",MATCH(ß14,$E393:$E401,0))</f>
        <v>5</v>
      </c>
      <c r="CS393" s="15">
        <f>SUM(CQ393:CR393)+BC393</f>
        <v>397</v>
      </c>
      <c r="CT393" s="36">
        <f>IF(ISERROR(MATCH(ß15,$C393:$C401,0)),"",MATCH(ß15,$C393:$C401,0))</f>
        <v>3</v>
      </c>
      <c r="CU393" s="35" t="str">
        <f>IF(ISERROR(MATCH(ß15,$E393:$E401,0)),"",MATCH(ß15,$E393:$E401,0))</f>
        <v/>
      </c>
      <c r="CV393" s="15">
        <f>SUM(CT393:CU393)+BC393</f>
        <v>395</v>
      </c>
      <c r="CW393" s="36">
        <f>IF(ISERROR(MATCH(ß16,$C393:$C401,0)),"",MATCH(ß16,$C393:$C401,0))</f>
        <v>9</v>
      </c>
      <c r="CX393" s="35" t="str">
        <f>IF(ISERROR(MATCH(ß16,$E393:$E401,0)),"",MATCH(ß16,$E393:$E401,0))</f>
        <v/>
      </c>
      <c r="CY393" s="15">
        <f>SUM(CW393:CX393)+BC393</f>
        <v>401</v>
      </c>
      <c r="CZ393" s="36">
        <f>IF(ISERROR(MATCH(ß17,$C393:$C401,0)),"",MATCH(ß17,$C393:$C401,0))</f>
        <v>1</v>
      </c>
      <c r="DA393" s="35" t="str">
        <f>IF(ISERROR(MATCH(ß17,$E393:$E401,0)),"",MATCH(ß17,$E393:$E401,0))</f>
        <v/>
      </c>
      <c r="DB393" s="15">
        <f>SUM(CZ393:DA393)+BC393</f>
        <v>393</v>
      </c>
      <c r="DC393" s="36">
        <f>IF(ISERROR(MATCH(ß18,$C393:$C401,0)),"",MATCH(ß18,$C393:$C401,0))</f>
        <v>4</v>
      </c>
      <c r="DD393" s="35" t="str">
        <f>IF(ISERROR(MATCH(ß18,$E393:$E401,0)),"",MATCH(ß18,$E393:$E401,0))</f>
        <v/>
      </c>
      <c r="DE393" s="15">
        <f>SUM(DC393:DD393)+BC393</f>
        <v>396</v>
      </c>
      <c r="DG393" s="8" t="str">
        <f t="shared" ref="DG393:DG401" si="396">IF(F393="","",(IF(F393=H393,0,IF(F393&gt;H393,1,IF(F393&lt;H393,2)))))</f>
        <v/>
      </c>
      <c r="DH393" s="3">
        <f>COUNTIF(I393,DG393)+COUNTIF(K393,DG393)+COUNTIF(M393,DG393)+COUNTIF(O393,DG393)+COUNTIF(Q393,DG393)+COUNTIF(S393,DG393)+COUNTIF(U393,DG393)</f>
        <v>7</v>
      </c>
      <c r="DN393" s="12">
        <f t="shared" ref="DN393:DN401" si="397">F393</f>
        <v>0</v>
      </c>
      <c r="DO393" s="5">
        <f t="shared" ref="DO393:DO401" si="398">H393</f>
        <v>0</v>
      </c>
      <c r="DP393" s="5" t="str">
        <f t="shared" ref="DP393:DP401" si="399">IF($F393="","",IF(DN393&gt;DO393,3,IF(DN393&lt;DO393,0,1)))</f>
        <v/>
      </c>
      <c r="DQ393" s="5" t="str">
        <f t="shared" ref="DQ393:DQ401" si="400">IF($H393="","",IF(DO393&gt;DN393,3,IF(DO393&lt;DN393,0,1)))</f>
        <v/>
      </c>
      <c r="DR393" s="5">
        <f t="shared" ref="DR393:DR401" si="401">IF(ISBLANK(F393),0,1)</f>
        <v>0</v>
      </c>
    </row>
    <row r="394" spans="3:122" ht="11.25" customHeight="1" x14ac:dyDescent="0.2">
      <c r="C394" s="2" t="str">
        <f t="shared" si="387"/>
        <v>Mainz</v>
      </c>
      <c r="D394" s="3" t="s">
        <v>11</v>
      </c>
      <c r="E394" s="2" t="str">
        <f t="shared" si="388"/>
        <v>Frankfurt</v>
      </c>
      <c r="F394" s="29"/>
      <c r="G394" s="3" t="s">
        <v>12</v>
      </c>
      <c r="H394" s="30"/>
      <c r="I394" s="37"/>
      <c r="J394" s="38" t="str">
        <f t="shared" si="389"/>
        <v/>
      </c>
      <c r="K394" s="37"/>
      <c r="L394" s="38" t="str">
        <f t="shared" si="390"/>
        <v/>
      </c>
      <c r="M394" s="37"/>
      <c r="N394" s="38" t="str">
        <f t="shared" si="391"/>
        <v/>
      </c>
      <c r="O394" s="37"/>
      <c r="P394" s="38" t="str">
        <f t="shared" si="392"/>
        <v/>
      </c>
      <c r="Q394" s="37"/>
      <c r="R394" s="38" t="str">
        <f t="shared" si="393"/>
        <v/>
      </c>
      <c r="S394" s="37"/>
      <c r="T394" s="38" t="str">
        <f t="shared" si="394"/>
        <v/>
      </c>
      <c r="U394" s="37"/>
      <c r="V394" s="38" t="str">
        <f t="shared" si="395"/>
        <v/>
      </c>
      <c r="AF394" s="34"/>
      <c r="AG394" s="34"/>
      <c r="AH394" s="34"/>
      <c r="AI394" s="34"/>
      <c r="AJ394" s="34"/>
      <c r="DG394" s="8" t="str">
        <f t="shared" si="396"/>
        <v/>
      </c>
      <c r="DH394" s="3">
        <f t="shared" ref="DH394:DH401" si="402">COUNTIF(I394,DG394)+COUNTIF(K394,DG394)+COUNTIF(M394,DG394)+COUNTIF(O394,DG394)+COUNTIF(Q394,DG394)+COUNTIF(S394,DG394)+COUNTIF(U394,DG394)</f>
        <v>7</v>
      </c>
      <c r="DN394" s="12">
        <f t="shared" si="397"/>
        <v>0</v>
      </c>
      <c r="DO394" s="5">
        <f t="shared" si="398"/>
        <v>0</v>
      </c>
      <c r="DP394" s="5" t="str">
        <f t="shared" si="399"/>
        <v/>
      </c>
      <c r="DQ394" s="5" t="str">
        <f t="shared" si="400"/>
        <v/>
      </c>
      <c r="DR394" s="5">
        <f t="shared" si="401"/>
        <v>0</v>
      </c>
    </row>
    <row r="395" spans="3:122" ht="11.25" customHeight="1" x14ac:dyDescent="0.2">
      <c r="C395" s="2" t="str">
        <f t="shared" si="387"/>
        <v>St. Pauli</v>
      </c>
      <c r="D395" s="3" t="s">
        <v>11</v>
      </c>
      <c r="E395" s="2" t="str">
        <f t="shared" si="388"/>
        <v>Freiburg</v>
      </c>
      <c r="F395" s="29"/>
      <c r="G395" s="3" t="s">
        <v>12</v>
      </c>
      <c r="H395" s="30"/>
      <c r="I395" s="37"/>
      <c r="J395" s="38" t="str">
        <f t="shared" si="389"/>
        <v/>
      </c>
      <c r="K395" s="37"/>
      <c r="L395" s="38" t="str">
        <f t="shared" si="390"/>
        <v/>
      </c>
      <c r="M395" s="37"/>
      <c r="N395" s="38" t="str">
        <f t="shared" si="391"/>
        <v/>
      </c>
      <c r="O395" s="37"/>
      <c r="P395" s="38" t="str">
        <f t="shared" si="392"/>
        <v/>
      </c>
      <c r="Q395" s="37"/>
      <c r="R395" s="38" t="str">
        <f t="shared" si="393"/>
        <v/>
      </c>
      <c r="S395" s="37"/>
      <c r="T395" s="38" t="str">
        <f t="shared" si="394"/>
        <v/>
      </c>
      <c r="U395" s="37"/>
      <c r="V395" s="38" t="str">
        <f t="shared" si="395"/>
        <v/>
      </c>
      <c r="AF395" s="34"/>
      <c r="AG395" s="34"/>
      <c r="AH395" s="34"/>
      <c r="AI395" s="34"/>
      <c r="AJ395" s="34"/>
      <c r="DG395" s="8" t="str">
        <f t="shared" si="396"/>
        <v/>
      </c>
      <c r="DH395" s="3">
        <f t="shared" si="402"/>
        <v>7</v>
      </c>
      <c r="DN395" s="12">
        <f t="shared" si="397"/>
        <v>0</v>
      </c>
      <c r="DO395" s="5">
        <f t="shared" si="398"/>
        <v>0</v>
      </c>
      <c r="DP395" s="5" t="str">
        <f t="shared" si="399"/>
        <v/>
      </c>
      <c r="DQ395" s="5" t="str">
        <f t="shared" si="400"/>
        <v/>
      </c>
      <c r="DR395" s="5">
        <f t="shared" si="401"/>
        <v>0</v>
      </c>
    </row>
    <row r="396" spans="3:122" ht="11.25" customHeight="1" x14ac:dyDescent="0.2">
      <c r="C396" s="2" t="str">
        <f t="shared" si="387"/>
        <v>Wolfsburg</v>
      </c>
      <c r="D396" s="3" t="s">
        <v>11</v>
      </c>
      <c r="E396" s="2" t="str">
        <f t="shared" si="388"/>
        <v>Werder</v>
      </c>
      <c r="F396" s="29"/>
      <c r="G396" s="3" t="s">
        <v>12</v>
      </c>
      <c r="H396" s="30"/>
      <c r="I396" s="37"/>
      <c r="J396" s="38" t="str">
        <f t="shared" si="389"/>
        <v/>
      </c>
      <c r="K396" s="37"/>
      <c r="L396" s="38" t="str">
        <f t="shared" si="390"/>
        <v/>
      </c>
      <c r="M396" s="37"/>
      <c r="N396" s="38" t="str">
        <f t="shared" si="391"/>
        <v/>
      </c>
      <c r="O396" s="37"/>
      <c r="P396" s="38" t="str">
        <f t="shared" si="392"/>
        <v/>
      </c>
      <c r="Q396" s="37"/>
      <c r="R396" s="38" t="str">
        <f t="shared" si="393"/>
        <v/>
      </c>
      <c r="S396" s="37"/>
      <c r="T396" s="38" t="str">
        <f t="shared" si="394"/>
        <v/>
      </c>
      <c r="U396" s="37"/>
      <c r="V396" s="38" t="str">
        <f t="shared" si="395"/>
        <v/>
      </c>
      <c r="AF396" s="34"/>
      <c r="AG396" s="34"/>
      <c r="AH396" s="34"/>
      <c r="AI396" s="34"/>
      <c r="AJ396" s="34"/>
      <c r="DG396" s="8" t="str">
        <f t="shared" si="396"/>
        <v/>
      </c>
      <c r="DH396" s="3">
        <f t="shared" si="402"/>
        <v>7</v>
      </c>
      <c r="DN396" s="12">
        <f t="shared" si="397"/>
        <v>0</v>
      </c>
      <c r="DO396" s="5">
        <f t="shared" si="398"/>
        <v>0</v>
      </c>
      <c r="DP396" s="5" t="str">
        <f t="shared" si="399"/>
        <v/>
      </c>
      <c r="DQ396" s="5" t="str">
        <f t="shared" si="400"/>
        <v/>
      </c>
      <c r="DR396" s="5">
        <f t="shared" si="401"/>
        <v>0</v>
      </c>
    </row>
    <row r="397" spans="3:122" ht="11.25" customHeight="1" x14ac:dyDescent="0.2">
      <c r="C397" s="2" t="str">
        <f t="shared" si="387"/>
        <v>Augsburg</v>
      </c>
      <c r="D397" s="3" t="s">
        <v>11</v>
      </c>
      <c r="E397" s="2" t="str">
        <f t="shared" si="388"/>
        <v>Stuttgart</v>
      </c>
      <c r="F397" s="29"/>
      <c r="G397" s="3" t="s">
        <v>12</v>
      </c>
      <c r="H397" s="30"/>
      <c r="I397" s="37"/>
      <c r="J397" s="38" t="str">
        <f t="shared" si="389"/>
        <v/>
      </c>
      <c r="K397" s="37"/>
      <c r="L397" s="38" t="str">
        <f t="shared" si="390"/>
        <v/>
      </c>
      <c r="M397" s="37"/>
      <c r="N397" s="38" t="str">
        <f t="shared" si="391"/>
        <v/>
      </c>
      <c r="O397" s="37"/>
      <c r="P397" s="38" t="str">
        <f t="shared" si="392"/>
        <v/>
      </c>
      <c r="Q397" s="37"/>
      <c r="R397" s="38" t="str">
        <f t="shared" si="393"/>
        <v/>
      </c>
      <c r="S397" s="37"/>
      <c r="T397" s="38" t="str">
        <f t="shared" si="394"/>
        <v/>
      </c>
      <c r="U397" s="37"/>
      <c r="V397" s="38" t="str">
        <f t="shared" si="395"/>
        <v/>
      </c>
      <c r="AF397" s="34"/>
      <c r="AG397" s="34"/>
      <c r="AH397" s="34"/>
      <c r="AI397" s="34"/>
      <c r="AJ397" s="34"/>
      <c r="DG397" s="8" t="str">
        <f t="shared" si="396"/>
        <v/>
      </c>
      <c r="DH397" s="3">
        <f t="shared" si="402"/>
        <v>7</v>
      </c>
      <c r="DN397" s="12">
        <f t="shared" si="397"/>
        <v>0</v>
      </c>
      <c r="DO397" s="5">
        <f t="shared" si="398"/>
        <v>0</v>
      </c>
      <c r="DP397" s="5" t="str">
        <f t="shared" si="399"/>
        <v/>
      </c>
      <c r="DQ397" s="5" t="str">
        <f t="shared" si="400"/>
        <v/>
      </c>
      <c r="DR397" s="5">
        <f t="shared" si="401"/>
        <v>0</v>
      </c>
    </row>
    <row r="398" spans="3:122" ht="11.25" customHeight="1" x14ac:dyDescent="0.2">
      <c r="C398" s="2" t="str">
        <f t="shared" si="387"/>
        <v>Köln</v>
      </c>
      <c r="D398" s="3" t="s">
        <v>11</v>
      </c>
      <c r="E398" s="2" t="str">
        <f t="shared" si="388"/>
        <v>M'gladb.</v>
      </c>
      <c r="F398" s="29"/>
      <c r="G398" s="3" t="s">
        <v>12</v>
      </c>
      <c r="H398" s="30"/>
      <c r="I398" s="37"/>
      <c r="J398" s="38" t="str">
        <f t="shared" si="389"/>
        <v/>
      </c>
      <c r="K398" s="37"/>
      <c r="L398" s="38" t="str">
        <f t="shared" si="390"/>
        <v/>
      </c>
      <c r="M398" s="37"/>
      <c r="N398" s="38" t="str">
        <f t="shared" si="391"/>
        <v/>
      </c>
      <c r="O398" s="37"/>
      <c r="P398" s="38" t="str">
        <f t="shared" si="392"/>
        <v/>
      </c>
      <c r="Q398" s="37"/>
      <c r="R398" s="38" t="str">
        <f t="shared" si="393"/>
        <v/>
      </c>
      <c r="S398" s="37"/>
      <c r="T398" s="38" t="str">
        <f t="shared" si="394"/>
        <v/>
      </c>
      <c r="U398" s="37"/>
      <c r="V398" s="38" t="str">
        <f t="shared" si="395"/>
        <v/>
      </c>
      <c r="AF398" s="34"/>
      <c r="AG398" s="34"/>
      <c r="AH398" s="34"/>
      <c r="AI398" s="34"/>
      <c r="AJ398" s="34"/>
      <c r="DG398" s="8" t="str">
        <f t="shared" si="396"/>
        <v/>
      </c>
      <c r="DH398" s="3">
        <f t="shared" si="402"/>
        <v>7</v>
      </c>
      <c r="DN398" s="12">
        <f t="shared" si="397"/>
        <v>0</v>
      </c>
      <c r="DO398" s="5">
        <f t="shared" si="398"/>
        <v>0</v>
      </c>
      <c r="DP398" s="5" t="str">
        <f t="shared" si="399"/>
        <v/>
      </c>
      <c r="DQ398" s="5" t="str">
        <f t="shared" si="400"/>
        <v/>
      </c>
      <c r="DR398" s="5">
        <f t="shared" si="401"/>
        <v>0</v>
      </c>
    </row>
    <row r="399" spans="3:122" ht="11.25" customHeight="1" x14ac:dyDescent="0.2">
      <c r="C399" s="2" t="str">
        <f t="shared" si="387"/>
        <v>Bayern</v>
      </c>
      <c r="D399" s="3" t="s">
        <v>11</v>
      </c>
      <c r="E399" s="2" t="str">
        <f t="shared" si="388"/>
        <v>Union</v>
      </c>
      <c r="F399" s="29"/>
      <c r="G399" s="3" t="s">
        <v>12</v>
      </c>
      <c r="H399" s="30"/>
      <c r="I399" s="37"/>
      <c r="J399" s="38" t="str">
        <f t="shared" si="389"/>
        <v/>
      </c>
      <c r="K399" s="37"/>
      <c r="L399" s="38" t="str">
        <f t="shared" si="390"/>
        <v/>
      </c>
      <c r="M399" s="37"/>
      <c r="N399" s="38" t="str">
        <f t="shared" si="391"/>
        <v/>
      </c>
      <c r="O399" s="37"/>
      <c r="P399" s="38" t="str">
        <f t="shared" si="392"/>
        <v/>
      </c>
      <c r="Q399" s="37"/>
      <c r="R399" s="38" t="str">
        <f t="shared" si="393"/>
        <v/>
      </c>
      <c r="S399" s="37"/>
      <c r="T399" s="38" t="str">
        <f t="shared" si="394"/>
        <v/>
      </c>
      <c r="U399" s="37"/>
      <c r="V399" s="38" t="str">
        <f t="shared" si="395"/>
        <v/>
      </c>
      <c r="AF399" s="34"/>
      <c r="AG399" s="34"/>
      <c r="AH399" s="34"/>
      <c r="AI399" s="34"/>
      <c r="AJ399" s="34"/>
      <c r="DG399" s="8" t="str">
        <f t="shared" si="396"/>
        <v/>
      </c>
      <c r="DH399" s="3">
        <f t="shared" si="402"/>
        <v>7</v>
      </c>
      <c r="DN399" s="12">
        <f t="shared" si="397"/>
        <v>0</v>
      </c>
      <c r="DO399" s="5">
        <f t="shared" si="398"/>
        <v>0</v>
      </c>
      <c r="DP399" s="5" t="str">
        <f t="shared" si="399"/>
        <v/>
      </c>
      <c r="DQ399" s="5" t="str">
        <f t="shared" si="400"/>
        <v/>
      </c>
      <c r="DR399" s="5">
        <f t="shared" si="401"/>
        <v>0</v>
      </c>
    </row>
    <row r="400" spans="3:122" ht="11.25" customHeight="1" x14ac:dyDescent="0.2">
      <c r="C400" s="2" t="str">
        <f t="shared" si="387"/>
        <v>Leipzig</v>
      </c>
      <c r="D400" s="3" t="s">
        <v>11</v>
      </c>
      <c r="E400" s="2" t="str">
        <f t="shared" si="388"/>
        <v>Hoffenheim</v>
      </c>
      <c r="F400" s="29"/>
      <c r="G400" s="3" t="s">
        <v>12</v>
      </c>
      <c r="H400" s="30"/>
      <c r="I400" s="37"/>
      <c r="J400" s="38" t="str">
        <f t="shared" si="389"/>
        <v/>
      </c>
      <c r="K400" s="37"/>
      <c r="L400" s="38" t="str">
        <f t="shared" si="390"/>
        <v/>
      </c>
      <c r="M400" s="37"/>
      <c r="N400" s="38" t="str">
        <f t="shared" si="391"/>
        <v/>
      </c>
      <c r="O400" s="37"/>
      <c r="P400" s="38" t="str">
        <f t="shared" si="392"/>
        <v/>
      </c>
      <c r="Q400" s="37"/>
      <c r="R400" s="38" t="str">
        <f t="shared" si="393"/>
        <v/>
      </c>
      <c r="S400" s="37"/>
      <c r="T400" s="38" t="str">
        <f t="shared" si="394"/>
        <v/>
      </c>
      <c r="U400" s="37"/>
      <c r="V400" s="38" t="str">
        <f t="shared" si="395"/>
        <v/>
      </c>
      <c r="AF400" s="34"/>
      <c r="AG400" s="34"/>
      <c r="AH400" s="34"/>
      <c r="AI400" s="34"/>
      <c r="AJ400" s="34"/>
      <c r="DG400" s="8" t="str">
        <f t="shared" si="396"/>
        <v/>
      </c>
      <c r="DH400" s="3">
        <f t="shared" si="402"/>
        <v>7</v>
      </c>
      <c r="DN400" s="12">
        <f t="shared" si="397"/>
        <v>0</v>
      </c>
      <c r="DO400" s="5">
        <f t="shared" si="398"/>
        <v>0</v>
      </c>
      <c r="DP400" s="5" t="str">
        <f t="shared" si="399"/>
        <v/>
      </c>
      <c r="DQ400" s="5" t="str">
        <f t="shared" si="400"/>
        <v/>
      </c>
      <c r="DR400" s="5">
        <f t="shared" si="401"/>
        <v>0</v>
      </c>
    </row>
    <row r="401" spans="3:122" ht="11.25" customHeight="1" thickBot="1" x14ac:dyDescent="0.25">
      <c r="C401" s="2" t="str">
        <f t="shared" si="387"/>
        <v>Dortmund</v>
      </c>
      <c r="D401" s="3" t="s">
        <v>11</v>
      </c>
      <c r="E401" s="2" t="str">
        <f t="shared" si="388"/>
        <v>HSV</v>
      </c>
      <c r="F401" s="29"/>
      <c r="G401" s="3" t="s">
        <v>12</v>
      </c>
      <c r="H401" s="30"/>
      <c r="I401" s="37"/>
      <c r="J401" s="38" t="str">
        <f t="shared" si="389"/>
        <v/>
      </c>
      <c r="K401" s="37"/>
      <c r="L401" s="38" t="str">
        <f t="shared" si="390"/>
        <v/>
      </c>
      <c r="M401" s="37"/>
      <c r="N401" s="38" t="str">
        <f t="shared" si="391"/>
        <v/>
      </c>
      <c r="O401" s="37"/>
      <c r="P401" s="38" t="str">
        <f t="shared" si="392"/>
        <v/>
      </c>
      <c r="Q401" s="37"/>
      <c r="R401" s="38" t="str">
        <f t="shared" si="393"/>
        <v/>
      </c>
      <c r="S401" s="37"/>
      <c r="T401" s="38" t="str">
        <f t="shared" si="394"/>
        <v/>
      </c>
      <c r="U401" s="37"/>
      <c r="V401" s="38" t="str">
        <f t="shared" si="395"/>
        <v/>
      </c>
      <c r="AF401" s="34"/>
      <c r="AG401" s="34"/>
      <c r="AH401" s="34"/>
      <c r="AI401" s="34"/>
      <c r="AJ401" s="34"/>
      <c r="DG401" s="8" t="str">
        <f t="shared" si="396"/>
        <v/>
      </c>
      <c r="DH401" s="3">
        <f t="shared" si="402"/>
        <v>7</v>
      </c>
      <c r="DN401" s="12">
        <f t="shared" si="397"/>
        <v>0</v>
      </c>
      <c r="DO401" s="5">
        <f t="shared" si="398"/>
        <v>0</v>
      </c>
      <c r="DP401" s="5" t="str">
        <f t="shared" si="399"/>
        <v/>
      </c>
      <c r="DQ401" s="5" t="str">
        <f t="shared" si="400"/>
        <v/>
      </c>
      <c r="DR401" s="5">
        <f t="shared" si="401"/>
        <v>0</v>
      </c>
    </row>
    <row r="402" spans="3:122" ht="11.25" customHeight="1" thickTop="1" x14ac:dyDescent="0.2">
      <c r="C402" s="41">
        <f>(I402+K402+M402+O402+Q402+S402+U402)</f>
        <v>0</v>
      </c>
      <c r="E402" s="42">
        <f>C402/8</f>
        <v>0</v>
      </c>
      <c r="F402" s="41">
        <f>SUM(F393:F401)</f>
        <v>0</v>
      </c>
      <c r="G402" s="2"/>
      <c r="H402" s="43">
        <f>SUM(H393:H401)</f>
        <v>0</v>
      </c>
      <c r="I402" s="44">
        <f>COUNTIF(J393:J401,"&gt;0")</f>
        <v>0</v>
      </c>
      <c r="J402" s="45">
        <f>I402+J387</f>
        <v>0</v>
      </c>
      <c r="K402" s="44">
        <f>COUNTIF(L393:L401,"&gt;0")</f>
        <v>0</v>
      </c>
      <c r="L402" s="45">
        <f>K402+L387</f>
        <v>0</v>
      </c>
      <c r="M402" s="44">
        <f>COUNTIF(N393:N401,"&gt;0")</f>
        <v>0</v>
      </c>
      <c r="N402" s="45">
        <f>M402+N387</f>
        <v>0</v>
      </c>
      <c r="O402" s="44">
        <f>COUNTIF(P393:P401,"&gt;0")</f>
        <v>0</v>
      </c>
      <c r="P402" s="45">
        <f>O402+P387</f>
        <v>0</v>
      </c>
      <c r="Q402" s="44">
        <f>COUNTIF(R393:R401,"&gt;0")</f>
        <v>0</v>
      </c>
      <c r="R402" s="45">
        <f>Q402+R387</f>
        <v>0</v>
      </c>
      <c r="S402" s="44">
        <f>COUNTIF(T393:T401,"&gt;0")</f>
        <v>0</v>
      </c>
      <c r="T402" s="45">
        <f>S402+T387</f>
        <v>0</v>
      </c>
      <c r="U402" s="44">
        <f>COUNTIF(V393:V401,"&gt;0")</f>
        <v>0</v>
      </c>
      <c r="V402" s="45">
        <f>U402+V387</f>
        <v>0</v>
      </c>
      <c r="AF402" s="34"/>
      <c r="AG402" s="34"/>
      <c r="AH402" s="34"/>
      <c r="AI402" s="34"/>
      <c r="AJ402" s="34"/>
    </row>
    <row r="403" spans="3:122" ht="11.25" customHeight="1" x14ac:dyDescent="0.2">
      <c r="C403" s="41">
        <f>(I403+K403+M403+O403+Q403+S403+U403)</f>
        <v>0</v>
      </c>
      <c r="E403" s="42">
        <f>C403/8</f>
        <v>0</v>
      </c>
      <c r="F403" s="137">
        <f>F402+H402</f>
        <v>0</v>
      </c>
      <c r="G403" s="137"/>
      <c r="H403" s="137"/>
      <c r="I403" s="46">
        <f>SUM(J393:J401)</f>
        <v>0</v>
      </c>
      <c r="J403" s="47">
        <f>I403+J388</f>
        <v>0</v>
      </c>
      <c r="K403" s="46">
        <f>SUM(L393:L401)</f>
        <v>0</v>
      </c>
      <c r="L403" s="47">
        <f>K403+L388</f>
        <v>0</v>
      </c>
      <c r="M403" s="46">
        <f>SUM(N393:N401)</f>
        <v>0</v>
      </c>
      <c r="N403" s="47">
        <f>M403+N388</f>
        <v>0</v>
      </c>
      <c r="O403" s="46">
        <f>SUM(P393:P401)</f>
        <v>0</v>
      </c>
      <c r="P403" s="47">
        <f>O403+P388</f>
        <v>0</v>
      </c>
      <c r="Q403" s="46">
        <f>SUM(R393:R401)</f>
        <v>0</v>
      </c>
      <c r="R403" s="47">
        <f>Q403+R388</f>
        <v>0</v>
      </c>
      <c r="S403" s="46">
        <f>SUM(T393:T401)</f>
        <v>0</v>
      </c>
      <c r="T403" s="47">
        <f>S403+T388</f>
        <v>0</v>
      </c>
      <c r="U403" s="46">
        <f>SUM(V393:V401)</f>
        <v>0</v>
      </c>
      <c r="V403" s="47">
        <f>U403+V388</f>
        <v>0</v>
      </c>
      <c r="AF403" s="34"/>
      <c r="AG403" s="34"/>
      <c r="AH403" s="34"/>
      <c r="AI403" s="34"/>
      <c r="AJ403" s="34"/>
    </row>
    <row r="404" spans="3:122" ht="11.25" customHeight="1" thickBot="1" x14ac:dyDescent="0.25">
      <c r="C404" s="41">
        <f>(I404+K404+M404+O404+Q404+S404+U404)</f>
        <v>0</v>
      </c>
      <c r="E404" s="42">
        <f>C404/8</f>
        <v>0</v>
      </c>
      <c r="F404" s="138">
        <f>F403+F389</f>
        <v>0</v>
      </c>
      <c r="G404" s="138"/>
      <c r="H404" s="138"/>
      <c r="I404" s="48">
        <f>I402*I403</f>
        <v>0</v>
      </c>
      <c r="J404" s="49">
        <f>I404+J389</f>
        <v>0</v>
      </c>
      <c r="K404" s="48">
        <f>K402*K403</f>
        <v>0</v>
      </c>
      <c r="L404" s="49">
        <f>K404+L389</f>
        <v>0</v>
      </c>
      <c r="M404" s="48">
        <f>M402*M403</f>
        <v>0</v>
      </c>
      <c r="N404" s="49">
        <f>M404+N389</f>
        <v>0</v>
      </c>
      <c r="O404" s="48">
        <f>O402*O403</f>
        <v>0</v>
      </c>
      <c r="P404" s="49">
        <f>O404+P389</f>
        <v>0</v>
      </c>
      <c r="Q404" s="48">
        <f>Q402*Q403</f>
        <v>0</v>
      </c>
      <c r="R404" s="49">
        <f>Q404+R389</f>
        <v>0</v>
      </c>
      <c r="S404" s="48">
        <f>S402*S403</f>
        <v>0</v>
      </c>
      <c r="T404" s="49">
        <f>S404+T389</f>
        <v>0</v>
      </c>
      <c r="U404" s="48">
        <f>U402*U403</f>
        <v>0</v>
      </c>
      <c r="V404" s="49">
        <f>U404+V389</f>
        <v>0</v>
      </c>
      <c r="AF404" s="34"/>
      <c r="AG404" s="34"/>
      <c r="AH404" s="34"/>
      <c r="AI404" s="34"/>
      <c r="AJ404" s="34"/>
      <c r="AL404" s="5">
        <f>MAX(I404,K404,M404,O404,Q404,S404,U404)</f>
        <v>0</v>
      </c>
      <c r="AM404" s="5">
        <f>MIN(I404,K404,M404,O404,Q404,S404,U404)</f>
        <v>0</v>
      </c>
      <c r="AN404" s="5"/>
      <c r="AO404" s="5"/>
      <c r="AP404" s="5"/>
      <c r="AQ404" s="5"/>
      <c r="AR404" s="5"/>
      <c r="AS404" s="13"/>
      <c r="AT404" s="5"/>
      <c r="AU404" s="5"/>
      <c r="AV404" s="5"/>
      <c r="AW404" s="5"/>
      <c r="AX404" s="5"/>
      <c r="AY404" s="5"/>
      <c r="AZ404" s="5"/>
      <c r="BA404" s="5"/>
      <c r="BB404" s="5"/>
      <c r="BD404" s="5"/>
      <c r="BE404" s="5"/>
      <c r="BF404" s="14"/>
      <c r="BG404" s="13"/>
      <c r="BH404" s="5"/>
      <c r="BI404" s="14"/>
      <c r="BJ404" s="13"/>
      <c r="BK404" s="5"/>
      <c r="BL404" s="14"/>
      <c r="BM404" s="13"/>
      <c r="BN404" s="5"/>
      <c r="BO404" s="14"/>
      <c r="BP404" s="13"/>
      <c r="BQ404" s="5"/>
      <c r="BR404" s="14"/>
      <c r="BS404" s="13"/>
      <c r="BT404" s="5"/>
      <c r="BU404" s="14"/>
      <c r="BV404" s="13"/>
      <c r="BW404" s="5"/>
      <c r="BX404" s="14"/>
      <c r="BY404" s="13"/>
      <c r="BZ404" s="5"/>
      <c r="CA404" s="14"/>
      <c r="CB404" s="13"/>
      <c r="CC404" s="5"/>
      <c r="CD404" s="14"/>
      <c r="CE404" s="13"/>
      <c r="CF404" s="5"/>
      <c r="CG404" s="14"/>
      <c r="CH404" s="13"/>
      <c r="CI404" s="5"/>
      <c r="CJ404" s="14"/>
      <c r="CK404" s="13"/>
      <c r="CL404" s="5"/>
      <c r="CM404" s="14"/>
      <c r="CN404" s="13"/>
      <c r="CO404" s="5"/>
      <c r="CP404" s="14"/>
      <c r="CQ404" s="13"/>
      <c r="CR404" s="5"/>
      <c r="CS404" s="14"/>
      <c r="CT404" s="13"/>
      <c r="CU404" s="5"/>
      <c r="CV404" s="14"/>
      <c r="CW404" s="13"/>
      <c r="CX404" s="5"/>
      <c r="CY404" s="14"/>
      <c r="CZ404" s="13"/>
      <c r="DA404" s="5"/>
      <c r="DB404" s="14"/>
      <c r="DC404" s="13"/>
      <c r="DD404" s="5"/>
      <c r="DE404" s="14"/>
      <c r="DF404" s="5"/>
      <c r="DG404" s="5"/>
      <c r="DH404" s="5"/>
    </row>
    <row r="405" spans="3:122" ht="11.25" customHeight="1" thickTop="1" x14ac:dyDescent="0.2">
      <c r="I405" s="50"/>
      <c r="J405" s="50">
        <f>L404-J404</f>
        <v>0</v>
      </c>
      <c r="K405" s="50"/>
      <c r="L405" s="50"/>
      <c r="M405" s="50"/>
      <c r="N405" s="50">
        <f>L404-N404</f>
        <v>0</v>
      </c>
      <c r="O405" s="50"/>
      <c r="P405" s="50">
        <f>L404-P404</f>
        <v>0</v>
      </c>
      <c r="Q405" s="50"/>
      <c r="R405" s="50">
        <f>L404-R404</f>
        <v>0</v>
      </c>
      <c r="S405" s="50"/>
      <c r="T405" s="50">
        <f>L404-T404</f>
        <v>0</v>
      </c>
      <c r="U405" s="50"/>
      <c r="V405" s="50">
        <f>L404-V404</f>
        <v>0</v>
      </c>
    </row>
    <row r="406" spans="3:122" ht="11.25" customHeight="1" x14ac:dyDescent="0.2">
      <c r="I406" s="139" t="str">
        <f>ß101</f>
        <v>Kropp</v>
      </c>
      <c r="J406" s="139"/>
      <c r="K406" s="139" t="str">
        <f>ß102</f>
        <v>Nörnberg</v>
      </c>
      <c r="L406" s="139"/>
      <c r="M406" s="139" t="str">
        <f>ß103</f>
        <v>Bübel</v>
      </c>
      <c r="N406" s="139"/>
      <c r="O406" s="139" t="str">
        <f>ß104</f>
        <v>Schwicht.</v>
      </c>
      <c r="P406" s="139"/>
      <c r="Q406" s="139" t="str">
        <f>ß105</f>
        <v>Rontzko.</v>
      </c>
      <c r="R406" s="139"/>
      <c r="S406" s="139" t="str">
        <f>ß106</f>
        <v>Hauschildt</v>
      </c>
      <c r="T406" s="139"/>
      <c r="U406" s="139" t="str">
        <f>ß107</f>
        <v>Zerres</v>
      </c>
      <c r="V406" s="139"/>
      <c r="AF406" s="11"/>
      <c r="AG406" s="11"/>
      <c r="AH406" s="11"/>
      <c r="AI406" s="11"/>
      <c r="AJ406" s="11"/>
      <c r="AL406" s="5" t="str">
        <f>IF($I419=$AL419,I406,"x")</f>
        <v>Kropp</v>
      </c>
      <c r="AM406" s="5" t="str">
        <f>IF($K419=$AL419,K406,"x")</f>
        <v>Nörnberg</v>
      </c>
      <c r="AN406" s="5" t="str">
        <f>IF($M419=$AL419,M406,"x")</f>
        <v>Bübel</v>
      </c>
      <c r="AO406" s="5" t="str">
        <f>IF($O419=$AL419,O406,"x")</f>
        <v>Schwicht.</v>
      </c>
      <c r="AP406" s="5" t="str">
        <f>IF($Q419=$AL419,Q406,"x")</f>
        <v>Rontzko.</v>
      </c>
      <c r="AQ406" s="5" t="str">
        <f>IF($S419=$AL419,S406,"x")</f>
        <v>Hauschildt</v>
      </c>
      <c r="AR406" s="5" t="str">
        <f>IF($U419=$AL419,U406,"x")</f>
        <v>Zerres</v>
      </c>
      <c r="AS406" s="13" t="str">
        <f>IF($I419=$AM419,I406,"x")</f>
        <v>Kropp</v>
      </c>
      <c r="AT406" s="5" t="str">
        <f>IF($K419=$AM419,K406,"x")</f>
        <v>Nörnberg</v>
      </c>
      <c r="AU406" s="5" t="str">
        <f>IF($M419=$AM419,M406,"x")</f>
        <v>Bübel</v>
      </c>
      <c r="AV406" s="5" t="str">
        <f>IF($O419=$AM419,O406,"x")</f>
        <v>Schwicht.</v>
      </c>
      <c r="AW406" s="5" t="str">
        <f>IF($Q419=$AM419,Q406,"x")</f>
        <v>Rontzko.</v>
      </c>
      <c r="AX406" s="5" t="str">
        <f>IF($S419=$AM419,S406,"x")</f>
        <v>Hauschildt</v>
      </c>
      <c r="AY406" s="5" t="str">
        <f>IF($U419=$AM419,U406,"x")</f>
        <v>Zerres</v>
      </c>
      <c r="BD406" s="140" t="str">
        <f>ß01</f>
        <v>Bayern</v>
      </c>
      <c r="BE406" s="140"/>
      <c r="BF406" s="140"/>
      <c r="BG406" s="141" t="str">
        <f>ß02</f>
        <v>Leipzig</v>
      </c>
      <c r="BH406" s="141"/>
      <c r="BI406" s="141"/>
      <c r="BJ406" s="141" t="str">
        <f>ß03</f>
        <v>Leverk.</v>
      </c>
      <c r="BK406" s="141"/>
      <c r="BL406" s="141"/>
      <c r="BM406" s="141" t="str">
        <f>ß04</f>
        <v>Hoffenheim</v>
      </c>
      <c r="BN406" s="141"/>
      <c r="BO406" s="141"/>
      <c r="BP406" s="141" t="str">
        <f>ß05</f>
        <v>Frankfurt</v>
      </c>
      <c r="BQ406" s="141"/>
      <c r="BR406" s="141"/>
      <c r="BS406" s="141" t="str">
        <f>ß06</f>
        <v>Werder</v>
      </c>
      <c r="BT406" s="141"/>
      <c r="BU406" s="141"/>
      <c r="BV406" s="141" t="str">
        <f>ß07</f>
        <v>Freiburg</v>
      </c>
      <c r="BW406" s="141"/>
      <c r="BX406" s="141"/>
      <c r="BY406" s="141" t="str">
        <f>ß08</f>
        <v>Augsburg</v>
      </c>
      <c r="BZ406" s="141"/>
      <c r="CA406" s="141"/>
      <c r="CB406" s="141" t="str">
        <f>ß09</f>
        <v>Mainz</v>
      </c>
      <c r="CC406" s="141"/>
      <c r="CD406" s="141"/>
      <c r="CE406" s="141" t="str">
        <f>ß10</f>
        <v>Köln</v>
      </c>
      <c r="CF406" s="141"/>
      <c r="CG406" s="141"/>
      <c r="CH406" s="141" t="str">
        <f>ß11</f>
        <v>M'gladb.</v>
      </c>
      <c r="CI406" s="141"/>
      <c r="CJ406" s="141"/>
      <c r="CK406" s="141" t="str">
        <f>ß12</f>
        <v>HSV</v>
      </c>
      <c r="CL406" s="141"/>
      <c r="CM406" s="141"/>
      <c r="CN406" s="141" t="str">
        <f>ß13</f>
        <v>Union</v>
      </c>
      <c r="CO406" s="141"/>
      <c r="CP406" s="141"/>
      <c r="CQ406" s="141" t="str">
        <f>ß14</f>
        <v>Stuttgart</v>
      </c>
      <c r="CR406" s="141"/>
      <c r="CS406" s="141"/>
      <c r="CT406" s="141" t="str">
        <f>ß15</f>
        <v>St. Pauli</v>
      </c>
      <c r="CU406" s="141"/>
      <c r="CV406" s="141"/>
      <c r="CW406" s="141" t="str">
        <f>ß16</f>
        <v>Dortmund</v>
      </c>
      <c r="CX406" s="141"/>
      <c r="CY406" s="141"/>
      <c r="CZ406" s="141" t="str">
        <f>ß17</f>
        <v>Heidenheim</v>
      </c>
      <c r="DA406" s="141"/>
      <c r="DB406" s="141"/>
      <c r="DC406" s="141" t="str">
        <f>ß18</f>
        <v>Wolfsburg</v>
      </c>
      <c r="DD406" s="141"/>
      <c r="DE406" s="141"/>
    </row>
    <row r="407" spans="3:122" ht="11.25" customHeight="1" x14ac:dyDescent="0.2">
      <c r="C407" s="16" t="str">
        <f>Mannschaften!F28</f>
        <v>28. Spieltag</v>
      </c>
      <c r="D407" s="11"/>
      <c r="E407" s="17" t="str">
        <f>Mannschaften!G28</f>
        <v>4./5.4.26</v>
      </c>
      <c r="I407" s="19">
        <f>RANK(Rang!A28,Rang!A28:G28)</f>
        <v>1</v>
      </c>
      <c r="J407" s="20">
        <f>RANK(Rang!H28,Rang!H28:N28)</f>
        <v>1</v>
      </c>
      <c r="K407" s="19">
        <f>RANK(Rang!B28,Rang!A28:G28)</f>
        <v>1</v>
      </c>
      <c r="L407" s="20">
        <f>RANK(Rang!I28,Rang!H28:N28)</f>
        <v>1</v>
      </c>
      <c r="M407" s="19">
        <f>RANK(Rang!C28,Rang!A28:G28)</f>
        <v>1</v>
      </c>
      <c r="N407" s="20">
        <f>RANK(Rang!J28,Rang!H28:N28)</f>
        <v>1</v>
      </c>
      <c r="O407" s="19">
        <f>RANK(Rang!D28,Rang!A28:G28)</f>
        <v>1</v>
      </c>
      <c r="P407" s="20">
        <f>RANK(Rang!K28,Rang!H28:N28)</f>
        <v>1</v>
      </c>
      <c r="Q407" s="19">
        <f>RANK(Rang!E28,Rang!A28:G28)</f>
        <v>1</v>
      </c>
      <c r="R407" s="20">
        <f>RANK(Rang!L28,Rang!H28:N28)</f>
        <v>1</v>
      </c>
      <c r="S407" s="19">
        <f>RANK(Rang!F28,Rang!A28:G28)</f>
        <v>1</v>
      </c>
      <c r="T407" s="20">
        <f>RANK(Rang!M28,Rang!H28:N28)</f>
        <v>1</v>
      </c>
      <c r="U407" s="19">
        <f>RANK(Rang!G28,Rang!A28:G28)</f>
        <v>1</v>
      </c>
      <c r="V407" s="20">
        <f>RANK(Rang!N28,Rang!H28:N28)</f>
        <v>1</v>
      </c>
      <c r="AF407" s="22"/>
      <c r="AG407" s="22"/>
      <c r="AH407" s="22"/>
      <c r="AI407" s="22"/>
      <c r="AJ407" s="22"/>
      <c r="AK407" s="21"/>
      <c r="AL407" s="21"/>
      <c r="AM407" s="21"/>
      <c r="AN407" s="21"/>
      <c r="AO407" s="21"/>
      <c r="AP407" s="21"/>
      <c r="AQ407" s="21"/>
      <c r="AR407" s="21"/>
      <c r="AS407" s="24"/>
      <c r="AT407" s="21"/>
      <c r="AU407" s="21"/>
      <c r="AV407" s="21"/>
      <c r="AW407" s="21"/>
      <c r="AX407" s="21"/>
      <c r="AY407" s="21"/>
      <c r="AZ407" s="21"/>
      <c r="BA407" s="21"/>
      <c r="BB407" s="21"/>
      <c r="BD407" s="25" t="s">
        <v>4</v>
      </c>
      <c r="BE407" s="25" t="s">
        <v>5</v>
      </c>
      <c r="BF407" s="26" t="s">
        <v>6</v>
      </c>
      <c r="BG407" s="27" t="s">
        <v>4</v>
      </c>
      <c r="BH407" s="25" t="s">
        <v>5</v>
      </c>
      <c r="BI407" s="26" t="s">
        <v>6</v>
      </c>
      <c r="BJ407" s="27" t="s">
        <v>4</v>
      </c>
      <c r="BK407" s="25" t="s">
        <v>5</v>
      </c>
      <c r="BL407" s="26" t="s">
        <v>6</v>
      </c>
      <c r="BM407" s="27" t="s">
        <v>4</v>
      </c>
      <c r="BN407" s="25" t="s">
        <v>5</v>
      </c>
      <c r="BO407" s="26" t="s">
        <v>6</v>
      </c>
      <c r="BP407" s="27" t="s">
        <v>4</v>
      </c>
      <c r="BQ407" s="25" t="s">
        <v>5</v>
      </c>
      <c r="BR407" s="26" t="s">
        <v>6</v>
      </c>
      <c r="BS407" s="27" t="s">
        <v>4</v>
      </c>
      <c r="BT407" s="25" t="s">
        <v>5</v>
      </c>
      <c r="BU407" s="26" t="s">
        <v>6</v>
      </c>
      <c r="BV407" s="27" t="s">
        <v>4</v>
      </c>
      <c r="BW407" s="25" t="s">
        <v>5</v>
      </c>
      <c r="BX407" s="26" t="s">
        <v>6</v>
      </c>
      <c r="BY407" s="27" t="s">
        <v>4</v>
      </c>
      <c r="BZ407" s="25" t="s">
        <v>5</v>
      </c>
      <c r="CA407" s="26" t="s">
        <v>6</v>
      </c>
      <c r="CB407" s="27" t="s">
        <v>4</v>
      </c>
      <c r="CC407" s="25" t="s">
        <v>5</v>
      </c>
      <c r="CD407" s="26" t="s">
        <v>6</v>
      </c>
      <c r="CE407" s="27" t="s">
        <v>4</v>
      </c>
      <c r="CF407" s="25" t="s">
        <v>5</v>
      </c>
      <c r="CG407" s="26" t="s">
        <v>6</v>
      </c>
      <c r="CH407" s="27" t="s">
        <v>4</v>
      </c>
      <c r="CI407" s="25" t="s">
        <v>5</v>
      </c>
      <c r="CJ407" s="26" t="s">
        <v>6</v>
      </c>
      <c r="CK407" s="27" t="s">
        <v>4</v>
      </c>
      <c r="CL407" s="25" t="s">
        <v>5</v>
      </c>
      <c r="CM407" s="26" t="s">
        <v>6</v>
      </c>
      <c r="CN407" s="27" t="s">
        <v>4</v>
      </c>
      <c r="CO407" s="25" t="s">
        <v>5</v>
      </c>
      <c r="CP407" s="26" t="s">
        <v>6</v>
      </c>
      <c r="CQ407" s="27" t="s">
        <v>4</v>
      </c>
      <c r="CR407" s="25" t="s">
        <v>5</v>
      </c>
      <c r="CS407" s="26" t="s">
        <v>6</v>
      </c>
      <c r="CT407" s="27" t="s">
        <v>4</v>
      </c>
      <c r="CU407" s="25" t="s">
        <v>5</v>
      </c>
      <c r="CV407" s="26" t="s">
        <v>6</v>
      </c>
      <c r="CW407" s="27" t="s">
        <v>4</v>
      </c>
      <c r="CX407" s="25" t="s">
        <v>5</v>
      </c>
      <c r="CY407" s="26" t="s">
        <v>6</v>
      </c>
      <c r="CZ407" s="27" t="s">
        <v>4</v>
      </c>
      <c r="DA407" s="25" t="s">
        <v>5</v>
      </c>
      <c r="DB407" s="26" t="s">
        <v>6</v>
      </c>
      <c r="DC407" s="27" t="s">
        <v>4</v>
      </c>
      <c r="DD407" s="25" t="s">
        <v>5</v>
      </c>
      <c r="DE407" s="26" t="s">
        <v>6</v>
      </c>
      <c r="DF407" s="21"/>
      <c r="DG407" s="21"/>
      <c r="DH407" s="21"/>
      <c r="DN407" s="136" t="s">
        <v>7</v>
      </c>
      <c r="DO407" s="136"/>
      <c r="DP407" s="136" t="s">
        <v>8</v>
      </c>
      <c r="DQ407" s="136"/>
      <c r="DR407" s="28"/>
    </row>
    <row r="408" spans="3:122" ht="11.25" customHeight="1" x14ac:dyDescent="0.2">
      <c r="C408" s="2" t="str">
        <f t="shared" ref="C408:C416" si="403">E153</f>
        <v>Freiburg</v>
      </c>
      <c r="D408" s="3" t="s">
        <v>11</v>
      </c>
      <c r="E408" s="2" t="str">
        <f t="shared" ref="E408:E416" si="404">C153</f>
        <v>Bayern</v>
      </c>
      <c r="F408" s="29"/>
      <c r="G408" s="3" t="s">
        <v>12</v>
      </c>
      <c r="H408" s="30"/>
      <c r="I408" s="31"/>
      <c r="J408" s="32" t="str">
        <f t="shared" ref="J408:J416" si="405">IF($F408="","",(IF(I408="","",IF(I408=$DG408,(VLOOKUP($DH408,$DJ$3:$DK$11,2,FALSE())),0))))</f>
        <v/>
      </c>
      <c r="K408" s="31"/>
      <c r="L408" s="32" t="str">
        <f t="shared" ref="L408:L416" si="406">IF($F408="","",(IF(K408="","",IF(K408=$DG408,(VLOOKUP($DH408,$DJ$3:$DK$11,2,FALSE())),0))))</f>
        <v/>
      </c>
      <c r="M408" s="31"/>
      <c r="N408" s="32" t="str">
        <f t="shared" ref="N408:N416" si="407">IF($F408="","",(IF(M408="","",IF(M408=$DG408,(VLOOKUP($DH408,$DJ$3:$DK$11,2,FALSE())),0))))</f>
        <v/>
      </c>
      <c r="O408" s="31"/>
      <c r="P408" s="32" t="str">
        <f t="shared" ref="P408:P416" si="408">IF($F408="","",(IF(O408="","",IF(O408=$DG408,(VLOOKUP($DH408,$DJ$3:$DK$11,2,FALSE())),0))))</f>
        <v/>
      </c>
      <c r="Q408" s="31"/>
      <c r="R408" s="32" t="str">
        <f t="shared" ref="R408:R416" si="409">IF($F408="","",(IF(Q408="","",IF(Q408=$DG408,(VLOOKUP($DH408,$DJ$3:$DK$11,2,FALSE())),0))))</f>
        <v/>
      </c>
      <c r="S408" s="31"/>
      <c r="T408" s="32" t="str">
        <f t="shared" ref="T408:T416" si="410">IF($F408="","",(IF(S408="","",IF(S408=$DG408,(VLOOKUP($DH408,$DJ$3:$DK$11,2,FALSE())),0))))</f>
        <v/>
      </c>
      <c r="U408" s="31"/>
      <c r="V408" s="32" t="str">
        <f t="shared" ref="V408:V416" si="411">IF($F408="","",(IF(U408="","",IF(U408=$DG408,(VLOOKUP($DH408,$DJ$3:$DK$11,2,FALSE())),0))))</f>
        <v/>
      </c>
      <c r="AF408" s="34"/>
      <c r="AG408" s="34"/>
      <c r="AH408" s="34"/>
      <c r="AI408" s="34"/>
      <c r="AJ408" s="34"/>
      <c r="AN408" s="5"/>
      <c r="AO408" s="5"/>
      <c r="AP408" s="5"/>
      <c r="AQ408" s="5"/>
      <c r="AR408" s="5"/>
      <c r="AS408" s="13"/>
      <c r="AT408" s="5"/>
      <c r="AU408" s="5"/>
      <c r="AV408" s="5"/>
      <c r="AW408" s="5"/>
      <c r="AX408" s="5"/>
      <c r="AY408" s="5"/>
      <c r="BC408" s="6">
        <v>407</v>
      </c>
      <c r="BD408" s="35" t="str">
        <f>IF(ISERROR(MATCH(ß01,$C408:$C416,0)),"",MATCH(ß01,$C408:$C416,0))</f>
        <v/>
      </c>
      <c r="BE408" s="35">
        <f>IF(ISERROR(MATCH(ß01,$E408:$E416,0)),"",MATCH(ß01,$E408:$E416,0))</f>
        <v>1</v>
      </c>
      <c r="BF408" s="15">
        <f>SUM(BD408:BE408)+BC408</f>
        <v>408</v>
      </c>
      <c r="BG408" s="36" t="str">
        <f>IF(ISERROR(MATCH(ß02,$C408:$C416,0)),"",MATCH(ß02,$C408:$C416,0))</f>
        <v/>
      </c>
      <c r="BH408" s="35">
        <f>IF(ISERROR(MATCH(ß02,$E408:$E416,0)),"",MATCH(ß02,$E408:$E416,0))</f>
        <v>4</v>
      </c>
      <c r="BI408" s="15">
        <f>SUM(BG408:BH408)+BC408</f>
        <v>411</v>
      </c>
      <c r="BJ408" s="36">
        <f>IF(ISERROR(MATCH(ß03,$C408:$C416,0)),"",MATCH(ß03,$C408:$C416,0))</f>
        <v>5</v>
      </c>
      <c r="BK408" s="35" t="str">
        <f>IF(ISERROR(MATCH(ß03,$E408:$E416,0)),"",MATCH(ß03,$E408:$E416,0))</f>
        <v/>
      </c>
      <c r="BL408" s="15">
        <f>SUM(BJ408:BK408)+BC408</f>
        <v>412</v>
      </c>
      <c r="BM408" s="36">
        <f>IF(ISERROR(MATCH(ß04,$C408:$C416,0)),"",MATCH(ß04,$C408:$C416,0))</f>
        <v>3</v>
      </c>
      <c r="BN408" s="35" t="str">
        <f>IF(ISERROR(MATCH(ß04,$E408:$E416,0)),"",MATCH(ß04,$E408:$E416,0))</f>
        <v/>
      </c>
      <c r="BO408" s="15">
        <f>SUM(BM408:BN408)+BC408</f>
        <v>410</v>
      </c>
      <c r="BP408" s="36">
        <f>IF(ISERROR(MATCH(ß05,$C408:$C416,0)),"",MATCH(ß05,$C408:$C416,0))</f>
        <v>9</v>
      </c>
      <c r="BQ408" s="35" t="str">
        <f>IF(ISERROR(MATCH(ß05,$E408:$E416,0)),"",MATCH(ß05,$E408:$E416,0))</f>
        <v/>
      </c>
      <c r="BR408" s="15">
        <f>SUM(BP408:BQ408)+BC408</f>
        <v>416</v>
      </c>
      <c r="BS408" s="36">
        <f>IF(ISERROR(MATCH(ß06,$C408:$C416,0)),"",MATCH(ß06,$C408:$C416,0))</f>
        <v>4</v>
      </c>
      <c r="BT408" s="35" t="str">
        <f>IF(ISERROR(MATCH(ß06,$E408:$E416,0)),"",MATCH(ß06,$E408:$E416,0))</f>
        <v/>
      </c>
      <c r="BU408" s="15">
        <f>SUM(BS408:BT408)+BC408</f>
        <v>411</v>
      </c>
      <c r="BV408" s="36">
        <f>IF(ISERROR(MATCH(ß07,$C408:$C416,0)),"",MATCH(ß07,$C408:$C416,0))</f>
        <v>1</v>
      </c>
      <c r="BW408" s="35" t="str">
        <f>IF(ISERROR(MATCH(ß07,$E408:$E416,0)),"",MATCH(ß07,$E408:$E416,0))</f>
        <v/>
      </c>
      <c r="BX408" s="15">
        <f>SUM(BV408:BW408)+BC408</f>
        <v>408</v>
      </c>
      <c r="BY408" s="36" t="str">
        <f>IF(ISERROR(MATCH(ß08,$C408:$C416,0)),"",MATCH(ß08,$C408:$C416,0))</f>
        <v/>
      </c>
      <c r="BZ408" s="35">
        <f>IF(ISERROR(MATCH(ß08,$E408:$E416,0)),"",MATCH(ß08,$E408:$E416,0))</f>
        <v>6</v>
      </c>
      <c r="CA408" s="15">
        <f>SUM(BY408:BZ408)+BC408</f>
        <v>413</v>
      </c>
      <c r="CB408" s="36" t="str">
        <f>IF(ISERROR(MATCH(ß09,$C408:$C416,0)),"",MATCH(ß09,$C408:$C416,0))</f>
        <v/>
      </c>
      <c r="CC408" s="35">
        <f>IF(ISERROR(MATCH(ß09,$E408:$E416,0)),"",MATCH(ß09,$E408:$E416,0))</f>
        <v>3</v>
      </c>
      <c r="CD408" s="15">
        <f>SUM(CB408:CC408)+BC408</f>
        <v>410</v>
      </c>
      <c r="CE408" s="36" t="str">
        <f>IF(ISERROR(MATCH(ß10,$C408:$C416,0)),"",MATCH(ß10,$C408:$C416,0))</f>
        <v/>
      </c>
      <c r="CF408" s="35">
        <f>IF(ISERROR(MATCH(ß10,$E408:$E416,0)),"",MATCH(ß10,$E408:$E416,0))</f>
        <v>9</v>
      </c>
      <c r="CG408" s="15">
        <f>SUM(CE408:CF408)+BC408</f>
        <v>416</v>
      </c>
      <c r="CH408" s="36">
        <f>IF(ISERROR(MATCH(ß11,$C408:$C416,0)),"",MATCH(ß11,$C408:$C416,0))</f>
        <v>8</v>
      </c>
      <c r="CI408" s="35" t="str">
        <f>IF(ISERROR(MATCH(ß11,$E408:$E416,0)),"",MATCH(ß11,$E408:$E416,0))</f>
        <v/>
      </c>
      <c r="CJ408" s="15">
        <f>SUM(CH408:CI408)+BC408</f>
        <v>415</v>
      </c>
      <c r="CK408" s="36">
        <f>IF(ISERROR(MATCH(ß12,$C408:$C416,0)),"",MATCH(ß12,$C408:$C416,0))</f>
        <v>6</v>
      </c>
      <c r="CL408" s="35" t="str">
        <f>IF(ISERROR(MATCH(ß12,$E408:$E416,0)),"",MATCH(ß12,$E408:$E416,0))</f>
        <v/>
      </c>
      <c r="CM408" s="15">
        <f>SUM(CK408:CL408)+BC408</f>
        <v>413</v>
      </c>
      <c r="CN408" s="36">
        <f>IF(ISERROR(MATCH(ß13,$C408:$C416,0)),"",MATCH(ß13,$C408:$C416,0))</f>
        <v>7</v>
      </c>
      <c r="CO408" s="35" t="str">
        <f>IF(ISERROR(MATCH(ß13,$E408:$E416,0)),"",MATCH(ß13,$E408:$E416,0))</f>
        <v/>
      </c>
      <c r="CP408" s="15">
        <f>SUM(CN408:CO408)+BC408</f>
        <v>414</v>
      </c>
      <c r="CQ408" s="36">
        <f>IF(ISERROR(MATCH(ß14,$C408:$C416,0)),"",MATCH(ß14,$C408:$C416,0))</f>
        <v>2</v>
      </c>
      <c r="CR408" s="35" t="str">
        <f>IF(ISERROR(MATCH(ß14,$E408:$E416,0)),"",MATCH(ß14,$E408:$E416,0))</f>
        <v/>
      </c>
      <c r="CS408" s="15">
        <f>SUM(CQ408:CR408)+BC408</f>
        <v>409</v>
      </c>
      <c r="CT408" s="36" t="str">
        <f>IF(ISERROR(MATCH(ß15,$C408:$C416,0)),"",MATCH(ß15,$C408:$C416,0))</f>
        <v/>
      </c>
      <c r="CU408" s="35">
        <f>IF(ISERROR(MATCH(ß15,$E408:$E416,0)),"",MATCH(ß15,$E408:$E416,0))</f>
        <v>7</v>
      </c>
      <c r="CV408" s="15">
        <f>SUM(CT408:CU408)+BC408</f>
        <v>414</v>
      </c>
      <c r="CW408" s="36" t="str">
        <f>IF(ISERROR(MATCH(ß16,$C408:$C416,0)),"",MATCH(ß16,$C408:$C416,0))</f>
        <v/>
      </c>
      <c r="CX408" s="35">
        <f>IF(ISERROR(MATCH(ß16,$E408:$E416,0)),"",MATCH(ß16,$E408:$E416,0))</f>
        <v>2</v>
      </c>
      <c r="CY408" s="15">
        <f>SUM(CW408:CX408)+BC408</f>
        <v>409</v>
      </c>
      <c r="CZ408" s="36" t="str">
        <f>IF(ISERROR(MATCH(ß17,$C408:$C416,0)),"",MATCH(ß17,$C408:$C416,0))</f>
        <v/>
      </c>
      <c r="DA408" s="35">
        <f>IF(ISERROR(MATCH(ß17,$E408:$E416,0)),"",MATCH(ß17,$E408:$E416,0))</f>
        <v>8</v>
      </c>
      <c r="DB408" s="15">
        <f>SUM(CZ408:DA408)+BC408</f>
        <v>415</v>
      </c>
      <c r="DC408" s="36" t="str">
        <f>IF(ISERROR(MATCH(ß18,$C408:$C416,0)),"",MATCH(ß18,$C408:$C416,0))</f>
        <v/>
      </c>
      <c r="DD408" s="35">
        <f>IF(ISERROR(MATCH(ß18,$E408:$E416,0)),"",MATCH(ß18,$E408:$E416,0))</f>
        <v>5</v>
      </c>
      <c r="DE408" s="15">
        <f>SUM(DC408:DD408)+BC408</f>
        <v>412</v>
      </c>
      <c r="DG408" s="8" t="str">
        <f t="shared" ref="DG408:DG416" si="412">IF(F408="","",(IF(F408=H408,0,IF(F408&gt;H408,1,IF(F408&lt;H408,2)))))</f>
        <v/>
      </c>
      <c r="DH408" s="3">
        <f>COUNTIF(I408,DG408)+COUNTIF(K408,DG408)+COUNTIF(M408,DG408)+COUNTIF(O408,DG408)+COUNTIF(Q408,DG408)+COUNTIF(S408,DG408)+COUNTIF(U408,DG408)</f>
        <v>7</v>
      </c>
      <c r="DN408" s="12">
        <f t="shared" ref="DN408:DN416" si="413">F408</f>
        <v>0</v>
      </c>
      <c r="DO408" s="5">
        <f t="shared" ref="DO408:DO416" si="414">H408</f>
        <v>0</v>
      </c>
      <c r="DP408" s="5" t="str">
        <f t="shared" ref="DP408:DP416" si="415">IF($F408="","",IF(DN408&gt;DO408,3,IF(DN408&lt;DO408,0,1)))</f>
        <v/>
      </c>
      <c r="DQ408" s="5" t="str">
        <f t="shared" ref="DQ408:DQ416" si="416">IF($H408="","",IF(DO408&gt;DN408,3,IF(DO408&lt;DN408,0,1)))</f>
        <v/>
      </c>
      <c r="DR408" s="5">
        <f t="shared" ref="DR408:DR416" si="417">IF(ISBLANK(F408),0,1)</f>
        <v>0</v>
      </c>
    </row>
    <row r="409" spans="3:122" ht="11.25" customHeight="1" x14ac:dyDescent="0.2">
      <c r="C409" s="2" t="str">
        <f t="shared" si="403"/>
        <v>Stuttgart</v>
      </c>
      <c r="D409" s="3" t="s">
        <v>11</v>
      </c>
      <c r="E409" s="2" t="str">
        <f t="shared" si="404"/>
        <v>Dortmund</v>
      </c>
      <c r="F409" s="29"/>
      <c r="G409" s="3" t="s">
        <v>12</v>
      </c>
      <c r="H409" s="30"/>
      <c r="I409" s="37"/>
      <c r="J409" s="38" t="str">
        <f t="shared" si="405"/>
        <v/>
      </c>
      <c r="K409" s="37"/>
      <c r="L409" s="38" t="str">
        <f t="shared" si="406"/>
        <v/>
      </c>
      <c r="M409" s="37"/>
      <c r="N409" s="38" t="str">
        <f t="shared" si="407"/>
        <v/>
      </c>
      <c r="O409" s="37"/>
      <c r="P409" s="38" t="str">
        <f t="shared" si="408"/>
        <v/>
      </c>
      <c r="Q409" s="37"/>
      <c r="R409" s="38" t="str">
        <f t="shared" si="409"/>
        <v/>
      </c>
      <c r="S409" s="37"/>
      <c r="T409" s="38" t="str">
        <f t="shared" si="410"/>
        <v/>
      </c>
      <c r="U409" s="37"/>
      <c r="V409" s="38" t="str">
        <f t="shared" si="411"/>
        <v/>
      </c>
      <c r="AF409" s="34"/>
      <c r="AG409" s="34"/>
      <c r="AH409" s="34"/>
      <c r="AI409" s="34"/>
      <c r="AJ409" s="34"/>
      <c r="DG409" s="8" t="str">
        <f t="shared" si="412"/>
        <v/>
      </c>
      <c r="DH409" s="3">
        <f t="shared" ref="DH409:DH416" si="418">COUNTIF(I409,DG409)+COUNTIF(K409,DG409)+COUNTIF(M409,DG409)+COUNTIF(O409,DG409)+COUNTIF(Q409,DG409)+COUNTIF(S409,DG409)+COUNTIF(U409,DG409)</f>
        <v>7</v>
      </c>
      <c r="DN409" s="12">
        <f t="shared" si="413"/>
        <v>0</v>
      </c>
      <c r="DO409" s="5">
        <f t="shared" si="414"/>
        <v>0</v>
      </c>
      <c r="DP409" s="5" t="str">
        <f t="shared" si="415"/>
        <v/>
      </c>
      <c r="DQ409" s="5" t="str">
        <f t="shared" si="416"/>
        <v/>
      </c>
      <c r="DR409" s="5">
        <f t="shared" si="417"/>
        <v>0</v>
      </c>
    </row>
    <row r="410" spans="3:122" ht="11.25" customHeight="1" x14ac:dyDescent="0.2">
      <c r="C410" s="2" t="str">
        <f t="shared" si="403"/>
        <v>Hoffenheim</v>
      </c>
      <c r="D410" s="3" t="s">
        <v>11</v>
      </c>
      <c r="E410" s="2" t="str">
        <f>C155</f>
        <v>Mainz</v>
      </c>
      <c r="F410" s="29"/>
      <c r="G410" s="3" t="s">
        <v>12</v>
      </c>
      <c r="H410" s="30"/>
      <c r="I410" s="37"/>
      <c r="J410" s="38" t="str">
        <f t="shared" si="405"/>
        <v/>
      </c>
      <c r="K410" s="37"/>
      <c r="L410" s="38" t="str">
        <f t="shared" si="406"/>
        <v/>
      </c>
      <c r="M410" s="37"/>
      <c r="N410" s="38" t="str">
        <f t="shared" si="407"/>
        <v/>
      </c>
      <c r="O410" s="37"/>
      <c r="P410" s="38" t="str">
        <f t="shared" si="408"/>
        <v/>
      </c>
      <c r="Q410" s="37"/>
      <c r="R410" s="38" t="str">
        <f t="shared" si="409"/>
        <v/>
      </c>
      <c r="S410" s="37"/>
      <c r="T410" s="38" t="str">
        <f t="shared" si="410"/>
        <v/>
      </c>
      <c r="U410" s="37"/>
      <c r="V410" s="38" t="str">
        <f t="shared" si="411"/>
        <v/>
      </c>
      <c r="AF410" s="34"/>
      <c r="AG410" s="34"/>
      <c r="AH410" s="34"/>
      <c r="AI410" s="34"/>
      <c r="AJ410" s="34"/>
      <c r="DG410" s="8" t="str">
        <f t="shared" si="412"/>
        <v/>
      </c>
      <c r="DH410" s="3">
        <f t="shared" si="418"/>
        <v>7</v>
      </c>
      <c r="DN410" s="12">
        <f t="shared" si="413"/>
        <v>0</v>
      </c>
      <c r="DO410" s="5">
        <f t="shared" si="414"/>
        <v>0</v>
      </c>
      <c r="DP410" s="5" t="str">
        <f t="shared" si="415"/>
        <v/>
      </c>
      <c r="DQ410" s="5" t="str">
        <f t="shared" si="416"/>
        <v/>
      </c>
      <c r="DR410" s="5">
        <f t="shared" si="417"/>
        <v>0</v>
      </c>
    </row>
    <row r="411" spans="3:122" ht="11.25" customHeight="1" x14ac:dyDescent="0.2">
      <c r="C411" s="2" t="str">
        <f t="shared" si="403"/>
        <v>Werder</v>
      </c>
      <c r="D411" s="3" t="s">
        <v>11</v>
      </c>
      <c r="E411" s="2" t="str">
        <f t="shared" si="404"/>
        <v>Leipzig</v>
      </c>
      <c r="F411" s="29"/>
      <c r="G411" s="3" t="s">
        <v>12</v>
      </c>
      <c r="H411" s="30"/>
      <c r="I411" s="37"/>
      <c r="J411" s="38" t="str">
        <f t="shared" si="405"/>
        <v/>
      </c>
      <c r="K411" s="37"/>
      <c r="L411" s="38" t="str">
        <f t="shared" si="406"/>
        <v/>
      </c>
      <c r="M411" s="37"/>
      <c r="N411" s="38" t="str">
        <f t="shared" si="407"/>
        <v/>
      </c>
      <c r="O411" s="37"/>
      <c r="P411" s="38" t="str">
        <f t="shared" si="408"/>
        <v/>
      </c>
      <c r="Q411" s="37"/>
      <c r="R411" s="38" t="str">
        <f t="shared" si="409"/>
        <v/>
      </c>
      <c r="S411" s="37"/>
      <c r="T411" s="38" t="str">
        <f t="shared" si="410"/>
        <v/>
      </c>
      <c r="U411" s="37"/>
      <c r="V411" s="38" t="str">
        <f t="shared" si="411"/>
        <v/>
      </c>
      <c r="AF411" s="34"/>
      <c r="AG411" s="34"/>
      <c r="AH411" s="34"/>
      <c r="AI411" s="34"/>
      <c r="AJ411" s="34"/>
      <c r="DG411" s="8" t="str">
        <f t="shared" si="412"/>
        <v/>
      </c>
      <c r="DH411" s="3">
        <f t="shared" si="418"/>
        <v>7</v>
      </c>
      <c r="DN411" s="12">
        <f t="shared" si="413"/>
        <v>0</v>
      </c>
      <c r="DO411" s="5">
        <f t="shared" si="414"/>
        <v>0</v>
      </c>
      <c r="DP411" s="5" t="str">
        <f t="shared" si="415"/>
        <v/>
      </c>
      <c r="DQ411" s="5" t="str">
        <f t="shared" si="416"/>
        <v/>
      </c>
      <c r="DR411" s="5">
        <f t="shared" si="417"/>
        <v>0</v>
      </c>
    </row>
    <row r="412" spans="3:122" ht="11.25" customHeight="1" x14ac:dyDescent="0.2">
      <c r="C412" s="2" t="str">
        <f t="shared" si="403"/>
        <v>Leverk.</v>
      </c>
      <c r="D412" s="3" t="s">
        <v>11</v>
      </c>
      <c r="E412" s="2" t="str">
        <f t="shared" si="404"/>
        <v>Wolfsburg</v>
      </c>
      <c r="F412" s="29"/>
      <c r="G412" s="3" t="s">
        <v>12</v>
      </c>
      <c r="H412" s="30"/>
      <c r="I412" s="37"/>
      <c r="J412" s="38" t="str">
        <f t="shared" si="405"/>
        <v/>
      </c>
      <c r="K412" s="37"/>
      <c r="L412" s="38" t="str">
        <f t="shared" si="406"/>
        <v/>
      </c>
      <c r="M412" s="37"/>
      <c r="N412" s="38" t="str">
        <f t="shared" si="407"/>
        <v/>
      </c>
      <c r="O412" s="37"/>
      <c r="P412" s="38" t="str">
        <f t="shared" si="408"/>
        <v/>
      </c>
      <c r="Q412" s="37"/>
      <c r="R412" s="38" t="str">
        <f t="shared" si="409"/>
        <v/>
      </c>
      <c r="S412" s="37"/>
      <c r="T412" s="38" t="str">
        <f t="shared" si="410"/>
        <v/>
      </c>
      <c r="U412" s="37"/>
      <c r="V412" s="38" t="str">
        <f t="shared" si="411"/>
        <v/>
      </c>
      <c r="AF412" s="34"/>
      <c r="AG412" s="34"/>
      <c r="AH412" s="34"/>
      <c r="AI412" s="34"/>
      <c r="AJ412" s="34"/>
      <c r="DG412" s="8" t="str">
        <f t="shared" si="412"/>
        <v/>
      </c>
      <c r="DH412" s="3">
        <f t="shared" si="418"/>
        <v>7</v>
      </c>
      <c r="DN412" s="12">
        <f t="shared" si="413"/>
        <v>0</v>
      </c>
      <c r="DO412" s="5">
        <f t="shared" si="414"/>
        <v>0</v>
      </c>
      <c r="DP412" s="5" t="str">
        <f t="shared" si="415"/>
        <v/>
      </c>
      <c r="DQ412" s="5" t="str">
        <f t="shared" si="416"/>
        <v/>
      </c>
      <c r="DR412" s="5">
        <f t="shared" si="417"/>
        <v>0</v>
      </c>
    </row>
    <row r="413" spans="3:122" ht="11.25" customHeight="1" x14ac:dyDescent="0.2">
      <c r="C413" s="2" t="str">
        <f t="shared" si="403"/>
        <v>HSV</v>
      </c>
      <c r="D413" s="3" t="s">
        <v>11</v>
      </c>
      <c r="E413" s="2" t="str">
        <f t="shared" si="404"/>
        <v>Augsburg</v>
      </c>
      <c r="F413" s="29"/>
      <c r="G413" s="3" t="s">
        <v>12</v>
      </c>
      <c r="H413" s="30"/>
      <c r="I413" s="37"/>
      <c r="J413" s="38" t="str">
        <f t="shared" si="405"/>
        <v/>
      </c>
      <c r="K413" s="37"/>
      <c r="L413" s="38" t="str">
        <f t="shared" si="406"/>
        <v/>
      </c>
      <c r="M413" s="37"/>
      <c r="N413" s="38" t="str">
        <f t="shared" si="407"/>
        <v/>
      </c>
      <c r="O413" s="37"/>
      <c r="P413" s="38" t="str">
        <f t="shared" si="408"/>
        <v/>
      </c>
      <c r="Q413" s="37"/>
      <c r="R413" s="38" t="str">
        <f t="shared" si="409"/>
        <v/>
      </c>
      <c r="S413" s="37"/>
      <c r="T413" s="38" t="str">
        <f t="shared" si="410"/>
        <v/>
      </c>
      <c r="U413" s="37"/>
      <c r="V413" s="38" t="str">
        <f t="shared" si="411"/>
        <v/>
      </c>
      <c r="AF413" s="34"/>
      <c r="AG413" s="34"/>
      <c r="AH413" s="34"/>
      <c r="AI413" s="34"/>
      <c r="AJ413" s="34"/>
      <c r="DG413" s="8" t="str">
        <f t="shared" si="412"/>
        <v/>
      </c>
      <c r="DH413" s="3">
        <f t="shared" si="418"/>
        <v>7</v>
      </c>
      <c r="DN413" s="12">
        <f t="shared" si="413"/>
        <v>0</v>
      </c>
      <c r="DO413" s="5">
        <f t="shared" si="414"/>
        <v>0</v>
      </c>
      <c r="DP413" s="5" t="str">
        <f t="shared" si="415"/>
        <v/>
      </c>
      <c r="DQ413" s="5" t="str">
        <f t="shared" si="416"/>
        <v/>
      </c>
      <c r="DR413" s="5">
        <f t="shared" si="417"/>
        <v>0</v>
      </c>
    </row>
    <row r="414" spans="3:122" ht="11.25" customHeight="1" x14ac:dyDescent="0.2">
      <c r="C414" s="2" t="str">
        <f t="shared" si="403"/>
        <v>Union</v>
      </c>
      <c r="D414" s="3" t="s">
        <v>11</v>
      </c>
      <c r="E414" s="2" t="str">
        <f>C159</f>
        <v>St. Pauli</v>
      </c>
      <c r="F414" s="29"/>
      <c r="G414" s="3" t="s">
        <v>12</v>
      </c>
      <c r="H414" s="30"/>
      <c r="I414" s="37"/>
      <c r="J414" s="38" t="str">
        <f t="shared" si="405"/>
        <v/>
      </c>
      <c r="K414" s="37"/>
      <c r="L414" s="38" t="str">
        <f t="shared" si="406"/>
        <v/>
      </c>
      <c r="M414" s="37"/>
      <c r="N414" s="38" t="str">
        <f t="shared" si="407"/>
        <v/>
      </c>
      <c r="O414" s="37"/>
      <c r="P414" s="38" t="str">
        <f t="shared" si="408"/>
        <v/>
      </c>
      <c r="Q414" s="37"/>
      <c r="R414" s="38" t="str">
        <f t="shared" si="409"/>
        <v/>
      </c>
      <c r="S414" s="37"/>
      <c r="T414" s="38" t="str">
        <f t="shared" si="410"/>
        <v/>
      </c>
      <c r="U414" s="37"/>
      <c r="V414" s="38" t="str">
        <f t="shared" si="411"/>
        <v/>
      </c>
      <c r="AF414" s="34"/>
      <c r="AG414" s="34"/>
      <c r="AH414" s="34"/>
      <c r="AI414" s="34"/>
      <c r="AJ414" s="34"/>
      <c r="DG414" s="8" t="str">
        <f t="shared" si="412"/>
        <v/>
      </c>
      <c r="DH414" s="3">
        <f t="shared" si="418"/>
        <v>7</v>
      </c>
      <c r="DN414" s="12">
        <f t="shared" si="413"/>
        <v>0</v>
      </c>
      <c r="DO414" s="5">
        <f t="shared" si="414"/>
        <v>0</v>
      </c>
      <c r="DP414" s="5" t="str">
        <f t="shared" si="415"/>
        <v/>
      </c>
      <c r="DQ414" s="5" t="str">
        <f t="shared" si="416"/>
        <v/>
      </c>
      <c r="DR414" s="5">
        <f t="shared" si="417"/>
        <v>0</v>
      </c>
    </row>
    <row r="415" spans="3:122" ht="11.25" customHeight="1" x14ac:dyDescent="0.2">
      <c r="C415" s="2" t="str">
        <f t="shared" si="403"/>
        <v>M'gladb.</v>
      </c>
      <c r="D415" s="3" t="s">
        <v>11</v>
      </c>
      <c r="E415" s="2" t="str">
        <f t="shared" si="404"/>
        <v>Heidenheim</v>
      </c>
      <c r="F415" s="29"/>
      <c r="G415" s="3" t="s">
        <v>12</v>
      </c>
      <c r="H415" s="30"/>
      <c r="I415" s="37"/>
      <c r="J415" s="38" t="str">
        <f t="shared" si="405"/>
        <v/>
      </c>
      <c r="K415" s="37"/>
      <c r="L415" s="38" t="str">
        <f t="shared" si="406"/>
        <v/>
      </c>
      <c r="M415" s="37"/>
      <c r="N415" s="38" t="str">
        <f t="shared" si="407"/>
        <v/>
      </c>
      <c r="O415" s="37"/>
      <c r="P415" s="38" t="str">
        <f t="shared" si="408"/>
        <v/>
      </c>
      <c r="Q415" s="37"/>
      <c r="R415" s="38" t="str">
        <f t="shared" si="409"/>
        <v/>
      </c>
      <c r="S415" s="37"/>
      <c r="T415" s="38" t="str">
        <f t="shared" si="410"/>
        <v/>
      </c>
      <c r="U415" s="37"/>
      <c r="V415" s="38" t="str">
        <f t="shared" si="411"/>
        <v/>
      </c>
      <c r="AF415" s="34"/>
      <c r="AG415" s="34"/>
      <c r="AH415" s="34"/>
      <c r="AI415" s="34"/>
      <c r="AJ415" s="34"/>
      <c r="DG415" s="8" t="str">
        <f t="shared" si="412"/>
        <v/>
      </c>
      <c r="DH415" s="3">
        <f t="shared" si="418"/>
        <v>7</v>
      </c>
      <c r="DN415" s="12">
        <f t="shared" si="413"/>
        <v>0</v>
      </c>
      <c r="DO415" s="5">
        <f t="shared" si="414"/>
        <v>0</v>
      </c>
      <c r="DP415" s="5" t="str">
        <f t="shared" si="415"/>
        <v/>
      </c>
      <c r="DQ415" s="5" t="str">
        <f t="shared" si="416"/>
        <v/>
      </c>
      <c r="DR415" s="5">
        <f t="shared" si="417"/>
        <v>0</v>
      </c>
    </row>
    <row r="416" spans="3:122" ht="11.25" customHeight="1" thickBot="1" x14ac:dyDescent="0.25">
      <c r="C416" s="2" t="str">
        <f t="shared" si="403"/>
        <v>Frankfurt</v>
      </c>
      <c r="D416" s="3" t="s">
        <v>11</v>
      </c>
      <c r="E416" s="2" t="str">
        <f t="shared" si="404"/>
        <v>Köln</v>
      </c>
      <c r="F416" s="29"/>
      <c r="G416" s="3" t="s">
        <v>12</v>
      </c>
      <c r="H416" s="30"/>
      <c r="I416" s="37"/>
      <c r="J416" s="38" t="str">
        <f t="shared" si="405"/>
        <v/>
      </c>
      <c r="K416" s="37"/>
      <c r="L416" s="38" t="str">
        <f t="shared" si="406"/>
        <v/>
      </c>
      <c r="M416" s="37"/>
      <c r="N416" s="38" t="str">
        <f t="shared" si="407"/>
        <v/>
      </c>
      <c r="O416" s="37"/>
      <c r="P416" s="38" t="str">
        <f t="shared" si="408"/>
        <v/>
      </c>
      <c r="Q416" s="37"/>
      <c r="R416" s="38" t="str">
        <f t="shared" si="409"/>
        <v/>
      </c>
      <c r="S416" s="37"/>
      <c r="T416" s="38" t="str">
        <f t="shared" si="410"/>
        <v/>
      </c>
      <c r="U416" s="37"/>
      <c r="V416" s="38" t="str">
        <f t="shared" si="411"/>
        <v/>
      </c>
      <c r="AF416" s="34"/>
      <c r="AG416" s="34"/>
      <c r="AH416" s="34"/>
      <c r="AI416" s="34"/>
      <c r="AJ416" s="34"/>
      <c r="DG416" s="8" t="str">
        <f t="shared" si="412"/>
        <v/>
      </c>
      <c r="DH416" s="3">
        <f t="shared" si="418"/>
        <v>7</v>
      </c>
      <c r="DN416" s="12">
        <f t="shared" si="413"/>
        <v>0</v>
      </c>
      <c r="DO416" s="5">
        <f t="shared" si="414"/>
        <v>0</v>
      </c>
      <c r="DP416" s="5" t="str">
        <f t="shared" si="415"/>
        <v/>
      </c>
      <c r="DQ416" s="5" t="str">
        <f t="shared" si="416"/>
        <v/>
      </c>
      <c r="DR416" s="5">
        <f t="shared" si="417"/>
        <v>0</v>
      </c>
    </row>
    <row r="417" spans="3:122" ht="11.25" customHeight="1" thickTop="1" x14ac:dyDescent="0.2">
      <c r="C417" s="41">
        <f>(I417+K417+M417+O417+Q417+S417+U417)</f>
        <v>0</v>
      </c>
      <c r="E417" s="42">
        <f>C417/8</f>
        <v>0</v>
      </c>
      <c r="F417" s="41">
        <f>SUM(F408:F416)</f>
        <v>0</v>
      </c>
      <c r="G417" s="2"/>
      <c r="H417" s="43">
        <f>SUM(H408:H416)</f>
        <v>0</v>
      </c>
      <c r="I417" s="44">
        <f>COUNTIF(J408:J416,"&gt;0")</f>
        <v>0</v>
      </c>
      <c r="J417" s="45">
        <f>I417+J402</f>
        <v>0</v>
      </c>
      <c r="K417" s="44">
        <f>COUNTIF(L408:L416,"&gt;0")</f>
        <v>0</v>
      </c>
      <c r="L417" s="45">
        <f>K417+L402</f>
        <v>0</v>
      </c>
      <c r="M417" s="44">
        <f>COUNTIF(N408:N416,"&gt;0")</f>
        <v>0</v>
      </c>
      <c r="N417" s="45">
        <f>M417+N402</f>
        <v>0</v>
      </c>
      <c r="O417" s="44">
        <f>COUNTIF(P408:P416,"&gt;0")</f>
        <v>0</v>
      </c>
      <c r="P417" s="45">
        <f>O417+P402</f>
        <v>0</v>
      </c>
      <c r="Q417" s="44">
        <f>COUNTIF(R408:R416,"&gt;0")</f>
        <v>0</v>
      </c>
      <c r="R417" s="45">
        <f>Q417+R402</f>
        <v>0</v>
      </c>
      <c r="S417" s="44">
        <f>COUNTIF(T408:T416,"&gt;0")</f>
        <v>0</v>
      </c>
      <c r="T417" s="45">
        <f>S417+T402</f>
        <v>0</v>
      </c>
      <c r="U417" s="44">
        <f>COUNTIF(V408:V416,"&gt;0")</f>
        <v>0</v>
      </c>
      <c r="V417" s="45">
        <f>U417+V402</f>
        <v>0</v>
      </c>
      <c r="AF417" s="34"/>
      <c r="AG417" s="34"/>
      <c r="AH417" s="34"/>
      <c r="AI417" s="34"/>
      <c r="AJ417" s="34"/>
      <c r="DN417" s="12"/>
    </row>
    <row r="418" spans="3:122" ht="11.25" customHeight="1" x14ac:dyDescent="0.2">
      <c r="C418" s="41">
        <f>(I418+K418+M418+O418+Q418+S418+U418)</f>
        <v>0</v>
      </c>
      <c r="E418" s="42">
        <f>C418/8</f>
        <v>0</v>
      </c>
      <c r="F418" s="137">
        <f>F417+H417</f>
        <v>0</v>
      </c>
      <c r="G418" s="137"/>
      <c r="H418" s="137"/>
      <c r="I418" s="46">
        <f>SUM(J408:J416)</f>
        <v>0</v>
      </c>
      <c r="J418" s="47">
        <f>I418+J403</f>
        <v>0</v>
      </c>
      <c r="K418" s="46">
        <f>SUM(L408:L416)</f>
        <v>0</v>
      </c>
      <c r="L418" s="47">
        <f>K418+L403</f>
        <v>0</v>
      </c>
      <c r="M418" s="46">
        <f>SUM(N408:N416)</f>
        <v>0</v>
      </c>
      <c r="N418" s="47">
        <f>M418+N403</f>
        <v>0</v>
      </c>
      <c r="O418" s="46">
        <f>SUM(P408:P416)</f>
        <v>0</v>
      </c>
      <c r="P418" s="47">
        <f>O418+P403</f>
        <v>0</v>
      </c>
      <c r="Q418" s="46">
        <f>SUM(R408:R416)</f>
        <v>0</v>
      </c>
      <c r="R418" s="47">
        <f>Q418+R403</f>
        <v>0</v>
      </c>
      <c r="S418" s="46">
        <f>SUM(T408:T416)</f>
        <v>0</v>
      </c>
      <c r="T418" s="47">
        <f>S418+T403</f>
        <v>0</v>
      </c>
      <c r="U418" s="46">
        <f>SUM(V408:V416)</f>
        <v>0</v>
      </c>
      <c r="V418" s="47">
        <f>U418+V403</f>
        <v>0</v>
      </c>
      <c r="AF418" s="34"/>
      <c r="AG418" s="34"/>
      <c r="AH418" s="34"/>
      <c r="AI418" s="34"/>
      <c r="AJ418" s="34"/>
      <c r="DN418" s="12"/>
    </row>
    <row r="419" spans="3:122" ht="11.25" customHeight="1" thickBot="1" x14ac:dyDescent="0.25">
      <c r="C419" s="41">
        <f>(I419+K419+M419+O419+Q419+S419+U419)</f>
        <v>0</v>
      </c>
      <c r="E419" s="42">
        <f>C419/8</f>
        <v>0</v>
      </c>
      <c r="F419" s="138">
        <f>F418+F404</f>
        <v>0</v>
      </c>
      <c r="G419" s="138"/>
      <c r="H419" s="138"/>
      <c r="I419" s="48">
        <f>I417*I418</f>
        <v>0</v>
      </c>
      <c r="J419" s="49">
        <f>I419+J404</f>
        <v>0</v>
      </c>
      <c r="K419" s="48">
        <f>K417*K418</f>
        <v>0</v>
      </c>
      <c r="L419" s="49">
        <f>K419+L404</f>
        <v>0</v>
      </c>
      <c r="M419" s="48">
        <f>M417*M418</f>
        <v>0</v>
      </c>
      <c r="N419" s="49">
        <f>M419+N404</f>
        <v>0</v>
      </c>
      <c r="O419" s="48">
        <f>O417*O418</f>
        <v>0</v>
      </c>
      <c r="P419" s="49">
        <f>O419+P404</f>
        <v>0</v>
      </c>
      <c r="Q419" s="48">
        <f>Q417*Q418</f>
        <v>0</v>
      </c>
      <c r="R419" s="49">
        <f>Q419+R404</f>
        <v>0</v>
      </c>
      <c r="S419" s="48">
        <f>S417*S418</f>
        <v>0</v>
      </c>
      <c r="T419" s="49">
        <f>S419+T404</f>
        <v>0</v>
      </c>
      <c r="U419" s="48">
        <f>U417*U418</f>
        <v>0</v>
      </c>
      <c r="V419" s="49">
        <f>U419+V404</f>
        <v>0</v>
      </c>
      <c r="AF419" s="34"/>
      <c r="AG419" s="34"/>
      <c r="AH419" s="34"/>
      <c r="AI419" s="34"/>
      <c r="AJ419" s="34"/>
      <c r="AL419" s="5">
        <f>MAX(I419,K419,M419,O419,Q419,S419,U419)</f>
        <v>0</v>
      </c>
      <c r="AM419" s="5">
        <f>MIN(I419,K419,M419,O419,Q419,S419,U419)</f>
        <v>0</v>
      </c>
      <c r="AN419" s="5"/>
      <c r="AO419" s="5"/>
      <c r="AP419" s="5"/>
      <c r="AQ419" s="5"/>
      <c r="AR419" s="5"/>
      <c r="AS419" s="13"/>
      <c r="AT419" s="5"/>
      <c r="AU419" s="5"/>
      <c r="AV419" s="5"/>
      <c r="AW419" s="5"/>
      <c r="AX419" s="5"/>
      <c r="AY419" s="5"/>
      <c r="AZ419" s="5"/>
      <c r="BA419" s="5"/>
      <c r="BB419" s="5"/>
      <c r="BD419" s="5"/>
      <c r="BE419" s="5"/>
      <c r="BF419" s="14"/>
      <c r="BG419" s="13"/>
      <c r="BH419" s="5"/>
      <c r="BI419" s="14"/>
      <c r="BJ419" s="13"/>
      <c r="BK419" s="5"/>
      <c r="BL419" s="14"/>
      <c r="BM419" s="13"/>
      <c r="BN419" s="5"/>
      <c r="BO419" s="14"/>
      <c r="BP419" s="13"/>
      <c r="BQ419" s="5"/>
      <c r="BR419" s="14"/>
      <c r="BS419" s="13"/>
      <c r="BT419" s="5"/>
      <c r="BU419" s="14"/>
      <c r="BV419" s="13"/>
      <c r="BW419" s="5"/>
      <c r="BX419" s="14"/>
      <c r="BY419" s="13"/>
      <c r="BZ419" s="5"/>
      <c r="CA419" s="14"/>
      <c r="CB419" s="13"/>
      <c r="CC419" s="5"/>
      <c r="CD419" s="14"/>
      <c r="CE419" s="13"/>
      <c r="CF419" s="5"/>
      <c r="CG419" s="14"/>
      <c r="CH419" s="13"/>
      <c r="CI419" s="5"/>
      <c r="CJ419" s="14"/>
      <c r="CK419" s="13"/>
      <c r="CL419" s="5"/>
      <c r="CM419" s="14"/>
      <c r="CN419" s="13"/>
      <c r="CO419" s="5"/>
      <c r="CP419" s="14"/>
      <c r="CQ419" s="13"/>
      <c r="CR419" s="5"/>
      <c r="CS419" s="14"/>
      <c r="CT419" s="13"/>
      <c r="CU419" s="5"/>
      <c r="CV419" s="14"/>
      <c r="CW419" s="13"/>
      <c r="CX419" s="5"/>
      <c r="CY419" s="14"/>
      <c r="CZ419" s="13"/>
      <c r="DA419" s="5"/>
      <c r="DB419" s="14"/>
      <c r="DC419" s="13"/>
      <c r="DD419" s="5"/>
      <c r="DE419" s="14"/>
      <c r="DF419" s="5"/>
      <c r="DG419" s="5"/>
      <c r="DH419" s="5"/>
      <c r="DN419" s="12"/>
    </row>
    <row r="420" spans="3:122" ht="11.25" customHeight="1" thickTop="1" x14ac:dyDescent="0.2">
      <c r="I420" s="50"/>
      <c r="J420" s="50">
        <f>L419-J419</f>
        <v>0</v>
      </c>
      <c r="K420" s="50"/>
      <c r="L420" s="50"/>
      <c r="M420" s="50"/>
      <c r="N420" s="50">
        <f>L419-N419</f>
        <v>0</v>
      </c>
      <c r="O420" s="50"/>
      <c r="P420" s="50">
        <f>L419-P419</f>
        <v>0</v>
      </c>
      <c r="Q420" s="50"/>
      <c r="R420" s="50">
        <f>L419-R419</f>
        <v>0</v>
      </c>
      <c r="S420" s="50"/>
      <c r="T420" s="50">
        <f>L419-T419</f>
        <v>0</v>
      </c>
      <c r="U420" s="50"/>
      <c r="V420" s="50">
        <f>L419-V419</f>
        <v>0</v>
      </c>
    </row>
    <row r="421" spans="3:122" ht="11.25" customHeight="1" x14ac:dyDescent="0.2">
      <c r="I421" s="139" t="str">
        <f>ß101</f>
        <v>Kropp</v>
      </c>
      <c r="J421" s="139"/>
      <c r="K421" s="139" t="str">
        <f>ß102</f>
        <v>Nörnberg</v>
      </c>
      <c r="L421" s="139"/>
      <c r="M421" s="139" t="str">
        <f>ß103</f>
        <v>Bübel</v>
      </c>
      <c r="N421" s="139"/>
      <c r="O421" s="139" t="str">
        <f>ß104</f>
        <v>Schwicht.</v>
      </c>
      <c r="P421" s="139"/>
      <c r="Q421" s="139" t="str">
        <f>ß105</f>
        <v>Rontzko.</v>
      </c>
      <c r="R421" s="139"/>
      <c r="S421" s="139" t="str">
        <f>ß106</f>
        <v>Hauschildt</v>
      </c>
      <c r="T421" s="139"/>
      <c r="U421" s="139" t="str">
        <f>ß107</f>
        <v>Zerres</v>
      </c>
      <c r="V421" s="139"/>
      <c r="AF421" s="11"/>
      <c r="AG421" s="11"/>
      <c r="AH421" s="11"/>
      <c r="AI421" s="11"/>
      <c r="AJ421" s="11"/>
      <c r="AL421" s="5" t="str">
        <f>IF($I434=$AL434,I421,"x")</f>
        <v>Kropp</v>
      </c>
      <c r="AM421" s="5" t="str">
        <f>IF($K434=$AL434,K421,"x")</f>
        <v>Nörnberg</v>
      </c>
      <c r="AN421" s="5" t="str">
        <f>IF($M434=$AL434,M421,"x")</f>
        <v>Bübel</v>
      </c>
      <c r="AO421" s="5" t="str">
        <f>IF($O434=$AL434,O421,"x")</f>
        <v>Schwicht.</v>
      </c>
      <c r="AP421" s="5" t="str">
        <f>IF($Q434=$AL434,Q421,"x")</f>
        <v>Rontzko.</v>
      </c>
      <c r="AQ421" s="5" t="str">
        <f>IF($S434=$AL434,S421,"x")</f>
        <v>Hauschildt</v>
      </c>
      <c r="AR421" s="5" t="str">
        <f>IF($U434=$AL434,U421,"x")</f>
        <v>Zerres</v>
      </c>
      <c r="AS421" s="13" t="str">
        <f>IF($I434=$AM434,I421,"x")</f>
        <v>Kropp</v>
      </c>
      <c r="AT421" s="5" t="str">
        <f>IF($K434=$AM434,K421,"x")</f>
        <v>Nörnberg</v>
      </c>
      <c r="AU421" s="5" t="str">
        <f>IF($M434=$AM434,M421,"x")</f>
        <v>Bübel</v>
      </c>
      <c r="AV421" s="5" t="str">
        <f>IF($O434=$AM434,O421,"x")</f>
        <v>Schwicht.</v>
      </c>
      <c r="AW421" s="5" t="str">
        <f>IF($Q434=$AM434,Q421,"x")</f>
        <v>Rontzko.</v>
      </c>
      <c r="AX421" s="5" t="str">
        <f>IF($S434=$AM434,S421,"x")</f>
        <v>Hauschildt</v>
      </c>
      <c r="AY421" s="5" t="str">
        <f>IF($U434=$AM434,U421,"x")</f>
        <v>Zerres</v>
      </c>
      <c r="BD421" s="140" t="str">
        <f>ß01</f>
        <v>Bayern</v>
      </c>
      <c r="BE421" s="140"/>
      <c r="BF421" s="140"/>
      <c r="BG421" s="141" t="str">
        <f>ß02</f>
        <v>Leipzig</v>
      </c>
      <c r="BH421" s="141"/>
      <c r="BI421" s="141"/>
      <c r="BJ421" s="141" t="str">
        <f>ß03</f>
        <v>Leverk.</v>
      </c>
      <c r="BK421" s="141"/>
      <c r="BL421" s="141"/>
      <c r="BM421" s="141" t="str">
        <f>ß04</f>
        <v>Hoffenheim</v>
      </c>
      <c r="BN421" s="141"/>
      <c r="BO421" s="141"/>
      <c r="BP421" s="141" t="str">
        <f>ß05</f>
        <v>Frankfurt</v>
      </c>
      <c r="BQ421" s="141"/>
      <c r="BR421" s="141"/>
      <c r="BS421" s="141" t="str">
        <f>ß06</f>
        <v>Werder</v>
      </c>
      <c r="BT421" s="141"/>
      <c r="BU421" s="141"/>
      <c r="BV421" s="141" t="str">
        <f>ß07</f>
        <v>Freiburg</v>
      </c>
      <c r="BW421" s="141"/>
      <c r="BX421" s="141"/>
      <c r="BY421" s="141" t="str">
        <f>ß08</f>
        <v>Augsburg</v>
      </c>
      <c r="BZ421" s="141"/>
      <c r="CA421" s="141"/>
      <c r="CB421" s="141" t="str">
        <f>ß09</f>
        <v>Mainz</v>
      </c>
      <c r="CC421" s="141"/>
      <c r="CD421" s="141"/>
      <c r="CE421" s="141" t="str">
        <f>ß10</f>
        <v>Köln</v>
      </c>
      <c r="CF421" s="141"/>
      <c r="CG421" s="141"/>
      <c r="CH421" s="141" t="str">
        <f>ß11</f>
        <v>M'gladb.</v>
      </c>
      <c r="CI421" s="141"/>
      <c r="CJ421" s="141"/>
      <c r="CK421" s="141" t="str">
        <f>ß12</f>
        <v>HSV</v>
      </c>
      <c r="CL421" s="141"/>
      <c r="CM421" s="141"/>
      <c r="CN421" s="141" t="str">
        <f>ß13</f>
        <v>Union</v>
      </c>
      <c r="CO421" s="141"/>
      <c r="CP421" s="141"/>
      <c r="CQ421" s="141" t="str">
        <f>ß14</f>
        <v>Stuttgart</v>
      </c>
      <c r="CR421" s="141"/>
      <c r="CS421" s="141"/>
      <c r="CT421" s="141" t="str">
        <f>ß15</f>
        <v>St. Pauli</v>
      </c>
      <c r="CU421" s="141"/>
      <c r="CV421" s="141"/>
      <c r="CW421" s="141" t="str">
        <f>ß16</f>
        <v>Dortmund</v>
      </c>
      <c r="CX421" s="141"/>
      <c r="CY421" s="141"/>
      <c r="CZ421" s="141" t="str">
        <f>ß17</f>
        <v>Heidenheim</v>
      </c>
      <c r="DA421" s="141"/>
      <c r="DB421" s="141"/>
      <c r="DC421" s="141" t="str">
        <f>ß18</f>
        <v>Wolfsburg</v>
      </c>
      <c r="DD421" s="141"/>
      <c r="DE421" s="141"/>
      <c r="DN421" s="12"/>
    </row>
    <row r="422" spans="3:122" ht="11.25" customHeight="1" x14ac:dyDescent="0.2">
      <c r="C422" s="16" t="str">
        <f>Mannschaften!F29</f>
        <v>29. Spieltag</v>
      </c>
      <c r="D422" s="11"/>
      <c r="E422" s="17" t="str">
        <f>Mannschaften!G29</f>
        <v>10.-12.4.26</v>
      </c>
      <c r="I422" s="19">
        <f>RANK(Rang!A29,Rang!A29:G29)</f>
        <v>1</v>
      </c>
      <c r="J422" s="20">
        <f>RANK(Rang!H29,Rang!H29:N29)</f>
        <v>1</v>
      </c>
      <c r="K422" s="19">
        <f>RANK(Rang!B29,Rang!A29:G29)</f>
        <v>1</v>
      </c>
      <c r="L422" s="20">
        <f>RANK(Rang!I29,Rang!H29:N29)</f>
        <v>1</v>
      </c>
      <c r="M422" s="19">
        <f>RANK(Rang!C29,Rang!A29:G29)</f>
        <v>1</v>
      </c>
      <c r="N422" s="20">
        <f>RANK(Rang!J29,Rang!H29:N29)</f>
        <v>1</v>
      </c>
      <c r="O422" s="19">
        <f>RANK(Rang!D29,Rang!A29:G29)</f>
        <v>1</v>
      </c>
      <c r="P422" s="20">
        <f>RANK(Rang!K29,Rang!H29:N29)</f>
        <v>1</v>
      </c>
      <c r="Q422" s="19">
        <f>RANK(Rang!E29,Rang!A29:G29)</f>
        <v>1</v>
      </c>
      <c r="R422" s="20">
        <f>RANK(Rang!L29,Rang!H29:N29)</f>
        <v>1</v>
      </c>
      <c r="S422" s="19">
        <f>RANK(Rang!F29,Rang!A29:G29)</f>
        <v>1</v>
      </c>
      <c r="T422" s="20">
        <f>RANK(Rang!M29,Rang!H29:N29)</f>
        <v>1</v>
      </c>
      <c r="U422" s="19">
        <f>RANK(Rang!G29,Rang!A29:G29)</f>
        <v>1</v>
      </c>
      <c r="V422" s="20">
        <f>RANK(Rang!N29,Rang!H29:N29)</f>
        <v>1</v>
      </c>
      <c r="AF422" s="22"/>
      <c r="AG422" s="22"/>
      <c r="AH422" s="22"/>
      <c r="AI422" s="22"/>
      <c r="AJ422" s="22"/>
      <c r="AK422" s="21"/>
      <c r="AL422" s="21"/>
      <c r="AM422" s="21"/>
      <c r="AN422" s="21"/>
      <c r="AO422" s="21"/>
      <c r="AP422" s="21"/>
      <c r="AQ422" s="21"/>
      <c r="AR422" s="21"/>
      <c r="AS422" s="24"/>
      <c r="AT422" s="21"/>
      <c r="AU422" s="21"/>
      <c r="AV422" s="21"/>
      <c r="AW422" s="21"/>
      <c r="AX422" s="21"/>
      <c r="AY422" s="21"/>
      <c r="AZ422" s="21"/>
      <c r="BA422" s="21"/>
      <c r="BB422" s="21"/>
      <c r="BD422" s="25" t="s">
        <v>4</v>
      </c>
      <c r="BE422" s="25" t="s">
        <v>5</v>
      </c>
      <c r="BF422" s="26" t="s">
        <v>6</v>
      </c>
      <c r="BG422" s="27" t="s">
        <v>4</v>
      </c>
      <c r="BH422" s="25" t="s">
        <v>5</v>
      </c>
      <c r="BI422" s="26" t="s">
        <v>6</v>
      </c>
      <c r="BJ422" s="27" t="s">
        <v>4</v>
      </c>
      <c r="BK422" s="25" t="s">
        <v>5</v>
      </c>
      <c r="BL422" s="26" t="s">
        <v>6</v>
      </c>
      <c r="BM422" s="27" t="s">
        <v>4</v>
      </c>
      <c r="BN422" s="25" t="s">
        <v>5</v>
      </c>
      <c r="BO422" s="26" t="s">
        <v>6</v>
      </c>
      <c r="BP422" s="27" t="s">
        <v>4</v>
      </c>
      <c r="BQ422" s="25" t="s">
        <v>5</v>
      </c>
      <c r="BR422" s="26" t="s">
        <v>6</v>
      </c>
      <c r="BS422" s="27" t="s">
        <v>4</v>
      </c>
      <c r="BT422" s="25" t="s">
        <v>5</v>
      </c>
      <c r="BU422" s="26" t="s">
        <v>6</v>
      </c>
      <c r="BV422" s="27" t="s">
        <v>4</v>
      </c>
      <c r="BW422" s="25" t="s">
        <v>5</v>
      </c>
      <c r="BX422" s="26" t="s">
        <v>6</v>
      </c>
      <c r="BY422" s="27" t="s">
        <v>4</v>
      </c>
      <c r="BZ422" s="25" t="s">
        <v>5</v>
      </c>
      <c r="CA422" s="26" t="s">
        <v>6</v>
      </c>
      <c r="CB422" s="27" t="s">
        <v>4</v>
      </c>
      <c r="CC422" s="25" t="s">
        <v>5</v>
      </c>
      <c r="CD422" s="26" t="s">
        <v>6</v>
      </c>
      <c r="CE422" s="27" t="s">
        <v>4</v>
      </c>
      <c r="CF422" s="25" t="s">
        <v>5</v>
      </c>
      <c r="CG422" s="26" t="s">
        <v>6</v>
      </c>
      <c r="CH422" s="27" t="s">
        <v>4</v>
      </c>
      <c r="CI422" s="25" t="s">
        <v>5</v>
      </c>
      <c r="CJ422" s="26" t="s">
        <v>6</v>
      </c>
      <c r="CK422" s="27" t="s">
        <v>4</v>
      </c>
      <c r="CL422" s="25" t="s">
        <v>5</v>
      </c>
      <c r="CM422" s="26" t="s">
        <v>6</v>
      </c>
      <c r="CN422" s="27" t="s">
        <v>4</v>
      </c>
      <c r="CO422" s="25" t="s">
        <v>5</v>
      </c>
      <c r="CP422" s="26" t="s">
        <v>6</v>
      </c>
      <c r="CQ422" s="27" t="s">
        <v>4</v>
      </c>
      <c r="CR422" s="25" t="s">
        <v>5</v>
      </c>
      <c r="CS422" s="26" t="s">
        <v>6</v>
      </c>
      <c r="CT422" s="27" t="s">
        <v>4</v>
      </c>
      <c r="CU422" s="25" t="s">
        <v>5</v>
      </c>
      <c r="CV422" s="26" t="s">
        <v>6</v>
      </c>
      <c r="CW422" s="27" t="s">
        <v>4</v>
      </c>
      <c r="CX422" s="25" t="s">
        <v>5</v>
      </c>
      <c r="CY422" s="26" t="s">
        <v>6</v>
      </c>
      <c r="CZ422" s="27" t="s">
        <v>4</v>
      </c>
      <c r="DA422" s="25" t="s">
        <v>5</v>
      </c>
      <c r="DB422" s="26" t="s">
        <v>6</v>
      </c>
      <c r="DC422" s="27" t="s">
        <v>4</v>
      </c>
      <c r="DD422" s="25" t="s">
        <v>5</v>
      </c>
      <c r="DE422" s="26" t="s">
        <v>6</v>
      </c>
      <c r="DF422" s="21"/>
      <c r="DG422" s="21"/>
      <c r="DH422" s="21"/>
      <c r="DN422" s="136" t="s">
        <v>7</v>
      </c>
      <c r="DO422" s="136"/>
      <c r="DP422" s="136" t="s">
        <v>8</v>
      </c>
      <c r="DQ422" s="136"/>
      <c r="DR422" s="28"/>
    </row>
    <row r="423" spans="3:122" ht="11.25" customHeight="1" x14ac:dyDescent="0.2">
      <c r="C423" s="2" t="str">
        <f t="shared" ref="C423:C431" si="419">E168</f>
        <v>St. Pauli</v>
      </c>
      <c r="D423" s="3" t="s">
        <v>11</v>
      </c>
      <c r="E423" s="2" t="str">
        <f t="shared" ref="E423:E431" si="420">C168</f>
        <v>Bayern</v>
      </c>
      <c r="F423" s="29"/>
      <c r="G423" s="3" t="s">
        <v>12</v>
      </c>
      <c r="H423" s="30"/>
      <c r="I423" s="31"/>
      <c r="J423" s="32" t="str">
        <f t="shared" ref="J423:J431" si="421">IF($F423="","",(IF(I423="","",IF(I423=$DG423,(VLOOKUP($DH423,$DJ$3:$DK$11,2,FALSE())),0))))</f>
        <v/>
      </c>
      <c r="K423" s="31"/>
      <c r="L423" s="32" t="str">
        <f t="shared" ref="L423:L431" si="422">IF($F423="","",(IF(K423="","",IF(K423=$DG423,(VLOOKUP($DH423,$DJ$3:$DK$11,2,FALSE())),0))))</f>
        <v/>
      </c>
      <c r="M423" s="31"/>
      <c r="N423" s="32" t="str">
        <f t="shared" ref="N423:N431" si="423">IF($F423="","",(IF(M423="","",IF(M423=$DG423,(VLOOKUP($DH423,$DJ$3:$DK$11,2,FALSE())),0))))</f>
        <v/>
      </c>
      <c r="O423" s="31"/>
      <c r="P423" s="32" t="str">
        <f t="shared" ref="P423:P431" si="424">IF($F423="","",(IF(O423="","",IF(O423=$DG423,(VLOOKUP($DH423,$DJ$3:$DK$11,2,FALSE())),0))))</f>
        <v/>
      </c>
      <c r="Q423" s="31"/>
      <c r="R423" s="32" t="str">
        <f t="shared" ref="R423:R431" si="425">IF($F423="","",(IF(Q423="","",IF(Q423=$DG423,(VLOOKUP($DH423,$DJ$3:$DK$11,2,FALSE())),0))))</f>
        <v/>
      </c>
      <c r="S423" s="31"/>
      <c r="T423" s="32" t="str">
        <f t="shared" ref="T423:T431" si="426">IF($F423="","",(IF(S423="","",IF(S423=$DG423,(VLOOKUP($DH423,$DJ$3:$DK$11,2,FALSE())),0))))</f>
        <v/>
      </c>
      <c r="U423" s="31"/>
      <c r="V423" s="32" t="str">
        <f t="shared" ref="V423:V431" si="427">IF($F423="","",(IF(U423="","",IF(U423=$DG423,(VLOOKUP($DH423,$DJ$3:$DK$11,2,FALSE())),0))))</f>
        <v/>
      </c>
      <c r="AF423" s="34"/>
      <c r="AG423" s="34"/>
      <c r="AH423" s="34"/>
      <c r="AI423" s="34"/>
      <c r="AJ423" s="34"/>
      <c r="AN423" s="5"/>
      <c r="AO423" s="5"/>
      <c r="AP423" s="5"/>
      <c r="AQ423" s="5"/>
      <c r="AR423" s="5"/>
      <c r="AS423" s="13"/>
      <c r="AT423" s="5"/>
      <c r="AU423" s="5"/>
      <c r="AV423" s="5"/>
      <c r="AW423" s="5"/>
      <c r="AX423" s="5"/>
      <c r="AY423" s="5"/>
      <c r="BC423" s="6">
        <v>422</v>
      </c>
      <c r="BD423" s="35" t="str">
        <f>IF(ISERROR(MATCH(ß01,$C423:$C431,0)),"",MATCH(ß01,$C423:$C431,0))</f>
        <v/>
      </c>
      <c r="BE423" s="35">
        <f>IF(ISERROR(MATCH(ß01,$E423:$E431,0)),"",MATCH(ß01,$E423:$E431,0))</f>
        <v>1</v>
      </c>
      <c r="BF423" s="15">
        <f>SUM(BD423:BE423)+BC423</f>
        <v>423</v>
      </c>
      <c r="BG423" s="36">
        <f>IF(ISERROR(MATCH(ß02,$C423:$C431,0)),"",MATCH(ß02,$C423:$C431,0))</f>
        <v>6</v>
      </c>
      <c r="BH423" s="35" t="str">
        <f>IF(ISERROR(MATCH(ß02,$E423:$E431,0)),"",MATCH(ß02,$E423:$E431,0))</f>
        <v/>
      </c>
      <c r="BI423" s="15">
        <f>SUM(BG423:BH423)+BC423</f>
        <v>428</v>
      </c>
      <c r="BJ423" s="36" t="str">
        <f>IF(ISERROR(MATCH(ß03,$C423:$C431,0)),"",MATCH(ß03,$C423:$C431,0))</f>
        <v/>
      </c>
      <c r="BK423" s="35">
        <f>IF(ISERROR(MATCH(ß03,$E423:$E431,0)),"",MATCH(ß03,$E423:$E431,0))</f>
        <v>2</v>
      </c>
      <c r="BL423" s="15">
        <f>SUM(BJ423:BK423)+BC423</f>
        <v>424</v>
      </c>
      <c r="BM423" s="36" t="str">
        <f>IF(ISERROR(MATCH(ß04,$C423:$C431,0)),"",MATCH(ß04,$C423:$C431,0))</f>
        <v/>
      </c>
      <c r="BN423" s="35">
        <f>IF(ISERROR(MATCH(ß04,$E423:$E431,0)),"",MATCH(ß04,$E423:$E431,0))</f>
        <v>8</v>
      </c>
      <c r="BO423" s="15">
        <f>SUM(BM423:BN423)+BC423</f>
        <v>430</v>
      </c>
      <c r="BP423" s="36" t="str">
        <f>IF(ISERROR(MATCH(ß05,$C423:$C431,0)),"",MATCH(ß05,$C423:$C431,0))</f>
        <v/>
      </c>
      <c r="BQ423" s="35">
        <f>IF(ISERROR(MATCH(ß05,$E423:$E431,0)),"",MATCH(ß05,$E423:$E431,0))</f>
        <v>3</v>
      </c>
      <c r="BR423" s="15">
        <f>SUM(BP423:BQ423)+BC423</f>
        <v>425</v>
      </c>
      <c r="BS423" s="36" t="str">
        <f>IF(ISERROR(MATCH(ß06,$C423:$C431,0)),"",MATCH(ß06,$C423:$C431,0))</f>
        <v/>
      </c>
      <c r="BT423" s="35">
        <f>IF(ISERROR(MATCH(ß06,$E423:$E431,0)),"",MATCH(ß06,$E423:$E431,0))</f>
        <v>5</v>
      </c>
      <c r="BU423" s="15">
        <f>SUM(BS423:BT423)+BC423</f>
        <v>427</v>
      </c>
      <c r="BV423" s="36" t="str">
        <f>IF(ISERROR(MATCH(ß07,$C423:$C431,0)),"",MATCH(ß07,$C423:$C431,0))</f>
        <v/>
      </c>
      <c r="BW423" s="35">
        <f>IF(ISERROR(MATCH(ß07,$E423:$E431,0)),"",MATCH(ß07,$E423:$E431,0))</f>
        <v>4</v>
      </c>
      <c r="BX423" s="15">
        <f>SUM(BV423:BW423)+BC423</f>
        <v>426</v>
      </c>
      <c r="BY423" s="36">
        <f>IF(ISERROR(MATCH(ß08,$C423:$C431,0)),"",MATCH(ß08,$C423:$C431,0))</f>
        <v>8</v>
      </c>
      <c r="BZ423" s="35" t="str">
        <f>IF(ISERROR(MATCH(ß08,$E423:$E431,0)),"",MATCH(ß08,$E423:$E431,0))</f>
        <v/>
      </c>
      <c r="CA423" s="15">
        <f>SUM(BY423:BZ423)+BC423</f>
        <v>430</v>
      </c>
      <c r="CB423" s="36">
        <f>IF(ISERROR(MATCH(ß09,$C423:$C431,0)),"",MATCH(ß09,$C423:$C431,0))</f>
        <v>4</v>
      </c>
      <c r="CC423" s="35" t="str">
        <f>IF(ISERROR(MATCH(ß09,$E423:$E431,0)),"",MATCH(ß09,$E423:$E431,0))</f>
        <v/>
      </c>
      <c r="CD423" s="15">
        <f>SUM(CB423:CC423)+BC423</f>
        <v>426</v>
      </c>
      <c r="CE423" s="36">
        <f>IF(ISERROR(MATCH(ß10,$C423:$C431,0)),"",MATCH(ß10,$C423:$C431,0))</f>
        <v>5</v>
      </c>
      <c r="CF423" s="35" t="str">
        <f>IF(ISERROR(MATCH(ß10,$E423:$E431,0)),"",MATCH(ß10,$E423:$E431,0))</f>
        <v/>
      </c>
      <c r="CG423" s="15">
        <f>SUM(CE423:CF423)+BC423</f>
        <v>427</v>
      </c>
      <c r="CH423" s="36" t="str">
        <f>IF(ISERROR(MATCH(ß11,$C423:$C431,0)),"",MATCH(ß11,$C423:$C431,0))</f>
        <v/>
      </c>
      <c r="CI423" s="35">
        <f>IF(ISERROR(MATCH(ß11,$E423:$E431,0)),"",MATCH(ß11,$E423:$E431,0))</f>
        <v>6</v>
      </c>
      <c r="CJ423" s="15">
        <f>SUM(CH423:CI423)+BC423</f>
        <v>428</v>
      </c>
      <c r="CK423" s="36" t="str">
        <f>IF(ISERROR(MATCH(ß12,$C423:$C431,0)),"",MATCH(ß12,$C423:$C431,0))</f>
        <v/>
      </c>
      <c r="CL423" s="35">
        <f>IF(ISERROR(MATCH(ß12,$E423:$E431,0)),"",MATCH(ß12,$E423:$E431,0))</f>
        <v>9</v>
      </c>
      <c r="CM423" s="15">
        <f>SUM(CK423:CL423)+BC423</f>
        <v>431</v>
      </c>
      <c r="CN423" s="36" t="str">
        <f>IF(ISERROR(MATCH(ß13,$C423:$C431,0)),"",MATCH(ß13,$C423:$C431,0))</f>
        <v/>
      </c>
      <c r="CO423" s="35">
        <f>IF(ISERROR(MATCH(ß13,$E423:$E431,0)),"",MATCH(ß13,$E423:$E431,0))</f>
        <v>7</v>
      </c>
      <c r="CP423" s="15">
        <f>SUM(CN423:CO423)+BC423</f>
        <v>429</v>
      </c>
      <c r="CQ423" s="36">
        <f>IF(ISERROR(MATCH(ß14,$C423:$C431,0)),"",MATCH(ß14,$C423:$C431,0))</f>
        <v>9</v>
      </c>
      <c r="CR423" s="35" t="str">
        <f>IF(ISERROR(MATCH(ß14,$E423:$E431,0)),"",MATCH(ß14,$E423:$E431,0))</f>
        <v/>
      </c>
      <c r="CS423" s="15">
        <f>SUM(CQ423:CR423)+BC423</f>
        <v>431</v>
      </c>
      <c r="CT423" s="36">
        <f>IF(ISERROR(MATCH(ß15,$C423:$C431,0)),"",MATCH(ß15,$C423:$C431,0))</f>
        <v>1</v>
      </c>
      <c r="CU423" s="35" t="str">
        <f>IF(ISERROR(MATCH(ß15,$E423:$E431,0)),"",MATCH(ß15,$E423:$E431,0))</f>
        <v/>
      </c>
      <c r="CV423" s="15">
        <f>SUM(CT423:CU423)+BC423</f>
        <v>423</v>
      </c>
      <c r="CW423" s="36">
        <f>IF(ISERROR(MATCH(ß16,$C423:$C431,0)),"",MATCH(ß16,$C423:$C431,0))</f>
        <v>2</v>
      </c>
      <c r="CX423" s="35" t="str">
        <f>IF(ISERROR(MATCH(ß16,$E423:$E431,0)),"",MATCH(ß16,$E423:$E431,0))</f>
        <v/>
      </c>
      <c r="CY423" s="15">
        <f>SUM(CW423:CX423)+BC423</f>
        <v>424</v>
      </c>
      <c r="CZ423" s="36">
        <f>IF(ISERROR(MATCH(ß17,$C423:$C431,0)),"",MATCH(ß17,$C423:$C431,0))</f>
        <v>7</v>
      </c>
      <c r="DA423" s="35" t="str">
        <f>IF(ISERROR(MATCH(ß17,$E423:$E431,0)),"",MATCH(ß17,$E423:$E431,0))</f>
        <v/>
      </c>
      <c r="DB423" s="15">
        <f>SUM(CZ423:DA423)+BC423</f>
        <v>429</v>
      </c>
      <c r="DC423" s="36">
        <f>IF(ISERROR(MATCH(ß18,$C423:$C431,0)),"",MATCH(ß18,$C423:$C431,0))</f>
        <v>3</v>
      </c>
      <c r="DD423" s="35" t="str">
        <f>IF(ISERROR(MATCH(ß18,$E423:$E431,0)),"",MATCH(ß18,$E423:$E431,0))</f>
        <v/>
      </c>
      <c r="DE423" s="15">
        <f>SUM(DC423:DD423)+BC423</f>
        <v>425</v>
      </c>
      <c r="DG423" s="8" t="str">
        <f t="shared" ref="DG423:DG431" si="428">IF(F423="","",(IF(F423=H423,0,IF(F423&gt;H423,1,IF(F423&lt;H423,2)))))</f>
        <v/>
      </c>
      <c r="DH423" s="3">
        <f>COUNTIF(I423,DG423)+COUNTIF(K423,DG423)+COUNTIF(M423,DG423)+COUNTIF(O423,DG423)+COUNTIF(Q423,DG423)+COUNTIF(S423,DG423)+COUNTIF(U423,DG423)</f>
        <v>7</v>
      </c>
      <c r="DN423" s="12">
        <f t="shared" ref="DN423:DN431" si="429">F423</f>
        <v>0</v>
      </c>
      <c r="DO423" s="5">
        <f t="shared" ref="DO423:DO431" si="430">H423</f>
        <v>0</v>
      </c>
      <c r="DP423" s="5" t="str">
        <f t="shared" ref="DP423:DP431" si="431">IF($F423="","",IF(DN423&gt;DO423,3,IF(DN423&lt;DO423,0,1)))</f>
        <v/>
      </c>
      <c r="DQ423" s="5" t="str">
        <f t="shared" ref="DQ423:DQ431" si="432">IF($H423="","",IF(DO423&gt;DN423,3,IF(DO423&lt;DN423,0,1)))</f>
        <v/>
      </c>
      <c r="DR423" s="5">
        <f t="shared" ref="DR423:DR431" si="433">IF(ISBLANK(F423),0,1)</f>
        <v>0</v>
      </c>
    </row>
    <row r="424" spans="3:122" ht="11.25" customHeight="1" x14ac:dyDescent="0.2">
      <c r="C424" s="2" t="str">
        <f t="shared" si="419"/>
        <v>Dortmund</v>
      </c>
      <c r="D424" s="3" t="s">
        <v>11</v>
      </c>
      <c r="E424" s="2" t="str">
        <f>C169</f>
        <v>Leverk.</v>
      </c>
      <c r="F424" s="29"/>
      <c r="G424" s="3" t="s">
        <v>12</v>
      </c>
      <c r="H424" s="30"/>
      <c r="I424" s="37"/>
      <c r="J424" s="38" t="str">
        <f t="shared" si="421"/>
        <v/>
      </c>
      <c r="K424" s="37"/>
      <c r="L424" s="38" t="str">
        <f t="shared" si="422"/>
        <v/>
      </c>
      <c r="M424" s="37"/>
      <c r="N424" s="38" t="str">
        <f t="shared" si="423"/>
        <v/>
      </c>
      <c r="O424" s="37"/>
      <c r="P424" s="38" t="str">
        <f t="shared" si="424"/>
        <v/>
      </c>
      <c r="Q424" s="37"/>
      <c r="R424" s="38" t="str">
        <f t="shared" si="425"/>
        <v/>
      </c>
      <c r="S424" s="37"/>
      <c r="T424" s="38" t="str">
        <f t="shared" si="426"/>
        <v/>
      </c>
      <c r="U424" s="37"/>
      <c r="V424" s="38" t="str">
        <f t="shared" si="427"/>
        <v/>
      </c>
      <c r="AF424" s="34"/>
      <c r="AG424" s="34"/>
      <c r="AH424" s="34"/>
      <c r="AI424" s="34"/>
      <c r="AJ424" s="34"/>
      <c r="DG424" s="8" t="str">
        <f t="shared" si="428"/>
        <v/>
      </c>
      <c r="DH424" s="3">
        <f t="shared" ref="DH424:DH431" si="434">COUNTIF(I424,DG424)+COUNTIF(K424,DG424)+COUNTIF(M424,DG424)+COUNTIF(O424,DG424)+COUNTIF(Q424,DG424)+COUNTIF(S424,DG424)+COUNTIF(U424,DG424)</f>
        <v>7</v>
      </c>
      <c r="DN424" s="12">
        <f t="shared" si="429"/>
        <v>0</v>
      </c>
      <c r="DO424" s="5">
        <f t="shared" si="430"/>
        <v>0</v>
      </c>
      <c r="DP424" s="5" t="str">
        <f t="shared" si="431"/>
        <v/>
      </c>
      <c r="DQ424" s="5" t="str">
        <f t="shared" si="432"/>
        <v/>
      </c>
      <c r="DR424" s="5">
        <f t="shared" si="433"/>
        <v>0</v>
      </c>
    </row>
    <row r="425" spans="3:122" ht="11.25" customHeight="1" x14ac:dyDescent="0.2">
      <c r="C425" s="2" t="str">
        <f t="shared" si="419"/>
        <v>Wolfsburg</v>
      </c>
      <c r="D425" s="3" t="s">
        <v>11</v>
      </c>
      <c r="E425" s="2" t="str">
        <f>C170</f>
        <v>Frankfurt</v>
      </c>
      <c r="F425" s="29"/>
      <c r="G425" s="3" t="s">
        <v>12</v>
      </c>
      <c r="H425" s="30"/>
      <c r="I425" s="37"/>
      <c r="J425" s="38" t="str">
        <f t="shared" si="421"/>
        <v/>
      </c>
      <c r="K425" s="37"/>
      <c r="L425" s="38" t="str">
        <f t="shared" si="422"/>
        <v/>
      </c>
      <c r="M425" s="37"/>
      <c r="N425" s="38" t="str">
        <f t="shared" si="423"/>
        <v/>
      </c>
      <c r="O425" s="37"/>
      <c r="P425" s="38" t="str">
        <f t="shared" si="424"/>
        <v/>
      </c>
      <c r="Q425" s="37"/>
      <c r="R425" s="38" t="str">
        <f t="shared" si="425"/>
        <v/>
      </c>
      <c r="S425" s="37"/>
      <c r="T425" s="38" t="str">
        <f t="shared" si="426"/>
        <v/>
      </c>
      <c r="U425" s="37"/>
      <c r="V425" s="38" t="str">
        <f t="shared" si="427"/>
        <v/>
      </c>
      <c r="AF425" s="34"/>
      <c r="AG425" s="34"/>
      <c r="AH425" s="34"/>
      <c r="AI425" s="34"/>
      <c r="AJ425" s="34"/>
      <c r="DG425" s="8" t="str">
        <f t="shared" si="428"/>
        <v/>
      </c>
      <c r="DH425" s="3">
        <f t="shared" si="434"/>
        <v>7</v>
      </c>
      <c r="DN425" s="12">
        <f t="shared" si="429"/>
        <v>0</v>
      </c>
      <c r="DO425" s="5">
        <f t="shared" si="430"/>
        <v>0</v>
      </c>
      <c r="DP425" s="5" t="str">
        <f t="shared" si="431"/>
        <v/>
      </c>
      <c r="DQ425" s="5" t="str">
        <f t="shared" si="432"/>
        <v/>
      </c>
      <c r="DR425" s="5">
        <f t="shared" si="433"/>
        <v>0</v>
      </c>
    </row>
    <row r="426" spans="3:122" ht="11.25" customHeight="1" x14ac:dyDescent="0.2">
      <c r="C426" s="2" t="str">
        <f t="shared" si="419"/>
        <v>Mainz</v>
      </c>
      <c r="D426" s="3" t="s">
        <v>11</v>
      </c>
      <c r="E426" s="2" t="str">
        <f t="shared" si="420"/>
        <v>Freiburg</v>
      </c>
      <c r="F426" s="29"/>
      <c r="G426" s="3" t="s">
        <v>12</v>
      </c>
      <c r="H426" s="30"/>
      <c r="I426" s="37"/>
      <c r="J426" s="38" t="str">
        <f t="shared" si="421"/>
        <v/>
      </c>
      <c r="K426" s="37"/>
      <c r="L426" s="38" t="str">
        <f t="shared" si="422"/>
        <v/>
      </c>
      <c r="M426" s="37"/>
      <c r="N426" s="38" t="str">
        <f t="shared" si="423"/>
        <v/>
      </c>
      <c r="O426" s="37"/>
      <c r="P426" s="38" t="str">
        <f t="shared" si="424"/>
        <v/>
      </c>
      <c r="Q426" s="37"/>
      <c r="R426" s="38" t="str">
        <f t="shared" si="425"/>
        <v/>
      </c>
      <c r="S426" s="37"/>
      <c r="T426" s="38" t="str">
        <f t="shared" si="426"/>
        <v/>
      </c>
      <c r="U426" s="37"/>
      <c r="V426" s="38" t="str">
        <f t="shared" si="427"/>
        <v/>
      </c>
      <c r="AF426" s="34"/>
      <c r="AG426" s="34"/>
      <c r="AH426" s="34"/>
      <c r="AI426" s="34"/>
      <c r="AJ426" s="34"/>
      <c r="DG426" s="8" t="str">
        <f t="shared" si="428"/>
        <v/>
      </c>
      <c r="DH426" s="3">
        <f t="shared" si="434"/>
        <v>7</v>
      </c>
      <c r="DN426" s="12">
        <f t="shared" si="429"/>
        <v>0</v>
      </c>
      <c r="DO426" s="5">
        <f t="shared" si="430"/>
        <v>0</v>
      </c>
      <c r="DP426" s="5" t="str">
        <f t="shared" si="431"/>
        <v/>
      </c>
      <c r="DQ426" s="5" t="str">
        <f t="shared" si="432"/>
        <v/>
      </c>
      <c r="DR426" s="5">
        <f t="shared" si="433"/>
        <v>0</v>
      </c>
    </row>
    <row r="427" spans="3:122" ht="11.25" customHeight="1" x14ac:dyDescent="0.2">
      <c r="C427" s="2" t="str">
        <f t="shared" si="419"/>
        <v>Köln</v>
      </c>
      <c r="D427" s="3" t="s">
        <v>11</v>
      </c>
      <c r="E427" s="2" t="str">
        <f t="shared" si="420"/>
        <v>Werder</v>
      </c>
      <c r="F427" s="29"/>
      <c r="G427" s="3" t="s">
        <v>12</v>
      </c>
      <c r="H427" s="30"/>
      <c r="I427" s="37"/>
      <c r="J427" s="38" t="str">
        <f t="shared" si="421"/>
        <v/>
      </c>
      <c r="K427" s="37"/>
      <c r="L427" s="38" t="str">
        <f t="shared" si="422"/>
        <v/>
      </c>
      <c r="M427" s="37"/>
      <c r="N427" s="38" t="str">
        <f t="shared" si="423"/>
        <v/>
      </c>
      <c r="O427" s="37"/>
      <c r="P427" s="38" t="str">
        <f t="shared" si="424"/>
        <v/>
      </c>
      <c r="Q427" s="37"/>
      <c r="R427" s="38" t="str">
        <f t="shared" si="425"/>
        <v/>
      </c>
      <c r="S427" s="37"/>
      <c r="T427" s="38" t="str">
        <f t="shared" si="426"/>
        <v/>
      </c>
      <c r="U427" s="37"/>
      <c r="V427" s="38" t="str">
        <f t="shared" si="427"/>
        <v/>
      </c>
      <c r="AF427" s="34"/>
      <c r="AG427" s="34"/>
      <c r="AH427" s="34"/>
      <c r="AI427" s="34"/>
      <c r="AJ427" s="34"/>
      <c r="DG427" s="8" t="str">
        <f t="shared" si="428"/>
        <v/>
      </c>
      <c r="DH427" s="3">
        <f t="shared" si="434"/>
        <v>7</v>
      </c>
      <c r="DN427" s="12">
        <f t="shared" si="429"/>
        <v>0</v>
      </c>
      <c r="DO427" s="5">
        <f t="shared" si="430"/>
        <v>0</v>
      </c>
      <c r="DP427" s="5" t="str">
        <f t="shared" si="431"/>
        <v/>
      </c>
      <c r="DQ427" s="5" t="str">
        <f t="shared" si="432"/>
        <v/>
      </c>
      <c r="DR427" s="5">
        <f t="shared" si="433"/>
        <v>0</v>
      </c>
    </row>
    <row r="428" spans="3:122" ht="11.25" customHeight="1" x14ac:dyDescent="0.2">
      <c r="C428" s="2" t="str">
        <f t="shared" si="419"/>
        <v>Leipzig</v>
      </c>
      <c r="D428" s="3" t="s">
        <v>11</v>
      </c>
      <c r="E428" s="2" t="str">
        <f t="shared" si="420"/>
        <v>M'gladb.</v>
      </c>
      <c r="F428" s="29"/>
      <c r="G428" s="3" t="s">
        <v>12</v>
      </c>
      <c r="H428" s="30"/>
      <c r="I428" s="37"/>
      <c r="J428" s="38" t="str">
        <f t="shared" si="421"/>
        <v/>
      </c>
      <c r="K428" s="37"/>
      <c r="L428" s="38" t="str">
        <f t="shared" si="422"/>
        <v/>
      </c>
      <c r="M428" s="37"/>
      <c r="N428" s="38" t="str">
        <f t="shared" si="423"/>
        <v/>
      </c>
      <c r="O428" s="37"/>
      <c r="P428" s="38" t="str">
        <f t="shared" si="424"/>
        <v/>
      </c>
      <c r="Q428" s="37"/>
      <c r="R428" s="38" t="str">
        <f t="shared" si="425"/>
        <v/>
      </c>
      <c r="S428" s="37"/>
      <c r="T428" s="38" t="str">
        <f t="shared" si="426"/>
        <v/>
      </c>
      <c r="U428" s="37"/>
      <c r="V428" s="38" t="str">
        <f t="shared" si="427"/>
        <v/>
      </c>
      <c r="AF428" s="34"/>
      <c r="AG428" s="34"/>
      <c r="AH428" s="34"/>
      <c r="AI428" s="34"/>
      <c r="AJ428" s="34"/>
      <c r="DG428" s="8" t="str">
        <f t="shared" si="428"/>
        <v/>
      </c>
      <c r="DH428" s="3">
        <f t="shared" si="434"/>
        <v>7</v>
      </c>
      <c r="DN428" s="12">
        <f t="shared" si="429"/>
        <v>0</v>
      </c>
      <c r="DO428" s="5">
        <f t="shared" si="430"/>
        <v>0</v>
      </c>
      <c r="DP428" s="5" t="str">
        <f t="shared" si="431"/>
        <v/>
      </c>
      <c r="DQ428" s="5" t="str">
        <f t="shared" si="432"/>
        <v/>
      </c>
      <c r="DR428" s="5">
        <f t="shared" si="433"/>
        <v>0</v>
      </c>
    </row>
    <row r="429" spans="3:122" ht="11.25" customHeight="1" x14ac:dyDescent="0.2">
      <c r="C429" s="2" t="str">
        <f t="shared" si="419"/>
        <v>Heidenheim</v>
      </c>
      <c r="D429" s="3" t="s">
        <v>11</v>
      </c>
      <c r="E429" s="2" t="str">
        <f t="shared" si="420"/>
        <v>Union</v>
      </c>
      <c r="F429" s="29"/>
      <c r="G429" s="3" t="s">
        <v>12</v>
      </c>
      <c r="H429" s="30"/>
      <c r="I429" s="37"/>
      <c r="J429" s="38" t="str">
        <f t="shared" si="421"/>
        <v/>
      </c>
      <c r="K429" s="37"/>
      <c r="L429" s="38" t="str">
        <f t="shared" si="422"/>
        <v/>
      </c>
      <c r="M429" s="37"/>
      <c r="N429" s="38" t="str">
        <f t="shared" si="423"/>
        <v/>
      </c>
      <c r="O429" s="37"/>
      <c r="P429" s="38" t="str">
        <f t="shared" si="424"/>
        <v/>
      </c>
      <c r="Q429" s="37"/>
      <c r="R429" s="38" t="str">
        <f t="shared" si="425"/>
        <v/>
      </c>
      <c r="S429" s="37"/>
      <c r="T429" s="38" t="str">
        <f t="shared" si="426"/>
        <v/>
      </c>
      <c r="U429" s="37"/>
      <c r="V429" s="38" t="str">
        <f t="shared" si="427"/>
        <v/>
      </c>
      <c r="AF429" s="34"/>
      <c r="AG429" s="34"/>
      <c r="AH429" s="34"/>
      <c r="AI429" s="34"/>
      <c r="AJ429" s="34"/>
      <c r="DG429" s="8" t="str">
        <f t="shared" si="428"/>
        <v/>
      </c>
      <c r="DH429" s="3">
        <f t="shared" si="434"/>
        <v>7</v>
      </c>
      <c r="DN429" s="12">
        <f t="shared" si="429"/>
        <v>0</v>
      </c>
      <c r="DO429" s="5">
        <f t="shared" si="430"/>
        <v>0</v>
      </c>
      <c r="DP429" s="5" t="str">
        <f t="shared" si="431"/>
        <v/>
      </c>
      <c r="DQ429" s="5" t="str">
        <f t="shared" si="432"/>
        <v/>
      </c>
      <c r="DR429" s="5">
        <f t="shared" si="433"/>
        <v>0</v>
      </c>
    </row>
    <row r="430" spans="3:122" ht="11.25" customHeight="1" x14ac:dyDescent="0.2">
      <c r="C430" s="2" t="str">
        <f t="shared" si="419"/>
        <v>Augsburg</v>
      </c>
      <c r="D430" s="3" t="s">
        <v>11</v>
      </c>
      <c r="E430" s="2" t="str">
        <f>C175</f>
        <v>Hoffenheim</v>
      </c>
      <c r="F430" s="29"/>
      <c r="G430" s="3" t="s">
        <v>12</v>
      </c>
      <c r="H430" s="30"/>
      <c r="I430" s="37"/>
      <c r="J430" s="38" t="str">
        <f t="shared" si="421"/>
        <v/>
      </c>
      <c r="K430" s="37"/>
      <c r="L430" s="38" t="str">
        <f t="shared" si="422"/>
        <v/>
      </c>
      <c r="M430" s="37"/>
      <c r="N430" s="38" t="str">
        <f t="shared" si="423"/>
        <v/>
      </c>
      <c r="O430" s="37"/>
      <c r="P430" s="38" t="str">
        <f t="shared" si="424"/>
        <v/>
      </c>
      <c r="Q430" s="37"/>
      <c r="R430" s="38" t="str">
        <f t="shared" si="425"/>
        <v/>
      </c>
      <c r="S430" s="37"/>
      <c r="T430" s="38" t="str">
        <f t="shared" si="426"/>
        <v/>
      </c>
      <c r="U430" s="37"/>
      <c r="V430" s="38" t="str">
        <f t="shared" si="427"/>
        <v/>
      </c>
      <c r="AF430" s="34"/>
      <c r="AG430" s="34"/>
      <c r="AH430" s="34"/>
      <c r="AI430" s="34"/>
      <c r="AJ430" s="34"/>
      <c r="DG430" s="8" t="str">
        <f t="shared" si="428"/>
        <v/>
      </c>
      <c r="DH430" s="3">
        <f t="shared" si="434"/>
        <v>7</v>
      </c>
      <c r="DN430" s="12">
        <f t="shared" si="429"/>
        <v>0</v>
      </c>
      <c r="DO430" s="5">
        <f t="shared" si="430"/>
        <v>0</v>
      </c>
      <c r="DP430" s="5" t="str">
        <f t="shared" si="431"/>
        <v/>
      </c>
      <c r="DQ430" s="5" t="str">
        <f t="shared" si="432"/>
        <v/>
      </c>
      <c r="DR430" s="5">
        <f t="shared" si="433"/>
        <v>0</v>
      </c>
    </row>
    <row r="431" spans="3:122" ht="11.25" customHeight="1" thickBot="1" x14ac:dyDescent="0.25">
      <c r="C431" s="2" t="str">
        <f t="shared" si="419"/>
        <v>Stuttgart</v>
      </c>
      <c r="D431" s="3" t="s">
        <v>11</v>
      </c>
      <c r="E431" s="2" t="str">
        <f t="shared" si="420"/>
        <v>HSV</v>
      </c>
      <c r="F431" s="29"/>
      <c r="G431" s="3" t="s">
        <v>12</v>
      </c>
      <c r="H431" s="30"/>
      <c r="I431" s="37"/>
      <c r="J431" s="38" t="str">
        <f t="shared" si="421"/>
        <v/>
      </c>
      <c r="K431" s="37"/>
      <c r="L431" s="38" t="str">
        <f t="shared" si="422"/>
        <v/>
      </c>
      <c r="M431" s="37"/>
      <c r="N431" s="38" t="str">
        <f t="shared" si="423"/>
        <v/>
      </c>
      <c r="O431" s="37"/>
      <c r="P431" s="38" t="str">
        <f t="shared" si="424"/>
        <v/>
      </c>
      <c r="Q431" s="37"/>
      <c r="R431" s="38" t="str">
        <f t="shared" si="425"/>
        <v/>
      </c>
      <c r="S431" s="37"/>
      <c r="T431" s="38" t="str">
        <f t="shared" si="426"/>
        <v/>
      </c>
      <c r="U431" s="37"/>
      <c r="V431" s="38" t="str">
        <f t="shared" si="427"/>
        <v/>
      </c>
      <c r="AF431" s="34"/>
      <c r="AG431" s="34"/>
      <c r="AH431" s="34"/>
      <c r="AI431" s="34"/>
      <c r="AJ431" s="34"/>
      <c r="DG431" s="8" t="str">
        <f t="shared" si="428"/>
        <v/>
      </c>
      <c r="DH431" s="3">
        <f t="shared" si="434"/>
        <v>7</v>
      </c>
      <c r="DN431" s="12">
        <f t="shared" si="429"/>
        <v>0</v>
      </c>
      <c r="DO431" s="5">
        <f t="shared" si="430"/>
        <v>0</v>
      </c>
      <c r="DP431" s="5" t="str">
        <f t="shared" si="431"/>
        <v/>
      </c>
      <c r="DQ431" s="5" t="str">
        <f t="shared" si="432"/>
        <v/>
      </c>
      <c r="DR431" s="5">
        <f t="shared" si="433"/>
        <v>0</v>
      </c>
    </row>
    <row r="432" spans="3:122" ht="11.25" customHeight="1" thickTop="1" x14ac:dyDescent="0.2">
      <c r="C432" s="41">
        <f>(I432+K432+M432+O432+Q432+S432+U432)</f>
        <v>0</v>
      </c>
      <c r="E432" s="42">
        <f>C432/8</f>
        <v>0</v>
      </c>
      <c r="F432" s="41">
        <f>SUM(F423:F431)</f>
        <v>0</v>
      </c>
      <c r="G432" s="2"/>
      <c r="H432" s="43">
        <f>SUM(H423:H431)</f>
        <v>0</v>
      </c>
      <c r="I432" s="44">
        <f>COUNTIF(J423:J431,"&gt;0")</f>
        <v>0</v>
      </c>
      <c r="J432" s="45">
        <f>I432+J417</f>
        <v>0</v>
      </c>
      <c r="K432" s="44">
        <f>COUNTIF(L423:L431,"&gt;0")</f>
        <v>0</v>
      </c>
      <c r="L432" s="45">
        <f>K432+L417</f>
        <v>0</v>
      </c>
      <c r="M432" s="44">
        <f>COUNTIF(N423:N431,"&gt;0")</f>
        <v>0</v>
      </c>
      <c r="N432" s="45">
        <f>M432+N417</f>
        <v>0</v>
      </c>
      <c r="O432" s="44">
        <f>COUNTIF(P423:P431,"&gt;0")</f>
        <v>0</v>
      </c>
      <c r="P432" s="45">
        <f>O432+P417</f>
        <v>0</v>
      </c>
      <c r="Q432" s="44">
        <f>COUNTIF(R423:R431,"&gt;0")</f>
        <v>0</v>
      </c>
      <c r="R432" s="45">
        <f>Q432+R417</f>
        <v>0</v>
      </c>
      <c r="S432" s="44">
        <f>COUNTIF(T423:T431,"&gt;0")</f>
        <v>0</v>
      </c>
      <c r="T432" s="45">
        <f>S432+T417</f>
        <v>0</v>
      </c>
      <c r="U432" s="44">
        <f>COUNTIF(V423:V431,"&gt;0")</f>
        <v>0</v>
      </c>
      <c r="V432" s="45">
        <f>U432+V417</f>
        <v>0</v>
      </c>
      <c r="AF432" s="34"/>
      <c r="AG432" s="34"/>
      <c r="AH432" s="34"/>
      <c r="AI432" s="34"/>
      <c r="AJ432" s="34"/>
      <c r="DN432" s="12"/>
    </row>
    <row r="433" spans="3:122" ht="11.25" customHeight="1" x14ac:dyDescent="0.2">
      <c r="C433" s="41">
        <f>(I433+K433+M433+O433+Q433+S433+U433)</f>
        <v>0</v>
      </c>
      <c r="E433" s="42">
        <f>C433/8</f>
        <v>0</v>
      </c>
      <c r="F433" s="137">
        <f>F432+H432</f>
        <v>0</v>
      </c>
      <c r="G433" s="137"/>
      <c r="H433" s="137"/>
      <c r="I433" s="46">
        <f>SUM(J423:J431)</f>
        <v>0</v>
      </c>
      <c r="J433" s="47">
        <f>I433+J418</f>
        <v>0</v>
      </c>
      <c r="K433" s="46">
        <f>SUM(L423:L431)</f>
        <v>0</v>
      </c>
      <c r="L433" s="47">
        <f>K433+L418</f>
        <v>0</v>
      </c>
      <c r="M433" s="46">
        <f>SUM(N423:N431)</f>
        <v>0</v>
      </c>
      <c r="N433" s="47">
        <f>M433+N418</f>
        <v>0</v>
      </c>
      <c r="O433" s="46">
        <f>SUM(P423:P431)</f>
        <v>0</v>
      </c>
      <c r="P433" s="47">
        <f>O433+P418</f>
        <v>0</v>
      </c>
      <c r="Q433" s="46">
        <f>SUM(R423:R431)</f>
        <v>0</v>
      </c>
      <c r="R433" s="47">
        <f>Q433+R418</f>
        <v>0</v>
      </c>
      <c r="S433" s="46">
        <f>SUM(T423:T431)</f>
        <v>0</v>
      </c>
      <c r="T433" s="47">
        <f>S433+T418</f>
        <v>0</v>
      </c>
      <c r="U433" s="46">
        <f>SUM(V423:V431)</f>
        <v>0</v>
      </c>
      <c r="V433" s="47">
        <f>U433+V418</f>
        <v>0</v>
      </c>
      <c r="AF433" s="34"/>
      <c r="AG433" s="34"/>
      <c r="AH433" s="34"/>
      <c r="AI433" s="34"/>
      <c r="AJ433" s="34"/>
      <c r="DN433" s="12"/>
    </row>
    <row r="434" spans="3:122" ht="11.25" customHeight="1" thickBot="1" x14ac:dyDescent="0.25">
      <c r="C434" s="41">
        <f>(I434+K434+M434+O434+Q434+S434+U434)</f>
        <v>0</v>
      </c>
      <c r="E434" s="42">
        <f>C434/8</f>
        <v>0</v>
      </c>
      <c r="F434" s="138">
        <f>F433+F419</f>
        <v>0</v>
      </c>
      <c r="G434" s="138"/>
      <c r="H434" s="138"/>
      <c r="I434" s="48">
        <f>I432*I433</f>
        <v>0</v>
      </c>
      <c r="J434" s="49">
        <f>I434+J419</f>
        <v>0</v>
      </c>
      <c r="K434" s="48">
        <f>K432*K433</f>
        <v>0</v>
      </c>
      <c r="L434" s="49">
        <f>K434+L419</f>
        <v>0</v>
      </c>
      <c r="M434" s="48">
        <f>M432*M433</f>
        <v>0</v>
      </c>
      <c r="N434" s="49">
        <f>M434+N419</f>
        <v>0</v>
      </c>
      <c r="O434" s="48">
        <f>O432*O433</f>
        <v>0</v>
      </c>
      <c r="P434" s="49">
        <f>O434+P419</f>
        <v>0</v>
      </c>
      <c r="Q434" s="48">
        <f>Q432*Q433</f>
        <v>0</v>
      </c>
      <c r="R434" s="49">
        <f>Q434+R419</f>
        <v>0</v>
      </c>
      <c r="S434" s="48">
        <f>S432*S433</f>
        <v>0</v>
      </c>
      <c r="T434" s="49">
        <f>S434+T419</f>
        <v>0</v>
      </c>
      <c r="U434" s="48">
        <f>U432*U433</f>
        <v>0</v>
      </c>
      <c r="V434" s="49">
        <f>U434+V419</f>
        <v>0</v>
      </c>
      <c r="AF434" s="34"/>
      <c r="AG434" s="34"/>
      <c r="AH434" s="34"/>
      <c r="AI434" s="34"/>
      <c r="AJ434" s="34"/>
      <c r="AL434" s="5">
        <f>MAX(I434,K434,M434,O434,Q434,S434,U434)</f>
        <v>0</v>
      </c>
      <c r="AM434" s="5">
        <f>MIN(I434,K434,M434,O434,Q434,S434,U434)</f>
        <v>0</v>
      </c>
      <c r="AN434" s="5"/>
      <c r="AO434" s="5"/>
      <c r="AP434" s="5"/>
      <c r="AQ434" s="5"/>
      <c r="AR434" s="5"/>
      <c r="AS434" s="13"/>
      <c r="AT434" s="5"/>
      <c r="AU434" s="5"/>
      <c r="AV434" s="5"/>
      <c r="AW434" s="5"/>
      <c r="AX434" s="5"/>
      <c r="AY434" s="5"/>
      <c r="AZ434" s="5"/>
      <c r="BA434" s="5"/>
      <c r="BB434" s="5"/>
      <c r="BD434" s="5"/>
      <c r="BE434" s="5"/>
      <c r="BF434" s="14"/>
      <c r="BG434" s="13"/>
      <c r="BH434" s="5"/>
      <c r="BI434" s="14"/>
      <c r="BJ434" s="13"/>
      <c r="BK434" s="5"/>
      <c r="BL434" s="14"/>
      <c r="BM434" s="13"/>
      <c r="BN434" s="5"/>
      <c r="BO434" s="14"/>
      <c r="BP434" s="13"/>
      <c r="BQ434" s="5"/>
      <c r="BR434" s="14"/>
      <c r="BS434" s="13"/>
      <c r="BT434" s="5"/>
      <c r="BU434" s="14"/>
      <c r="BV434" s="13"/>
      <c r="BW434" s="5"/>
      <c r="BX434" s="14"/>
      <c r="BY434" s="13"/>
      <c r="BZ434" s="5"/>
      <c r="CA434" s="14"/>
      <c r="CB434" s="13"/>
      <c r="CC434" s="5"/>
      <c r="CD434" s="14"/>
      <c r="CE434" s="13"/>
      <c r="CF434" s="5"/>
      <c r="CG434" s="14"/>
      <c r="CH434" s="13"/>
      <c r="CI434" s="5"/>
      <c r="CJ434" s="14"/>
      <c r="CK434" s="13"/>
      <c r="CL434" s="5"/>
      <c r="CM434" s="14"/>
      <c r="CN434" s="13"/>
      <c r="CO434" s="5"/>
      <c r="CP434" s="14"/>
      <c r="CQ434" s="13"/>
      <c r="CR434" s="5"/>
      <c r="CS434" s="14"/>
      <c r="CT434" s="13"/>
      <c r="CU434" s="5"/>
      <c r="CV434" s="14"/>
      <c r="CW434" s="13"/>
      <c r="CX434" s="5"/>
      <c r="CY434" s="14"/>
      <c r="CZ434" s="13"/>
      <c r="DA434" s="5"/>
      <c r="DB434" s="14"/>
      <c r="DC434" s="13"/>
      <c r="DD434" s="5"/>
      <c r="DE434" s="14"/>
      <c r="DF434" s="5"/>
      <c r="DG434" s="5"/>
      <c r="DH434" s="5"/>
      <c r="DN434" s="12"/>
    </row>
    <row r="435" spans="3:122" ht="11.25" customHeight="1" thickTop="1" x14ac:dyDescent="0.2">
      <c r="I435" s="50"/>
      <c r="J435" s="50">
        <f>L434-J434</f>
        <v>0</v>
      </c>
      <c r="K435" s="50"/>
      <c r="L435" s="50"/>
      <c r="M435" s="50"/>
      <c r="N435" s="50">
        <f>L434-N434</f>
        <v>0</v>
      </c>
      <c r="O435" s="50"/>
      <c r="P435" s="50">
        <f>L434-P434</f>
        <v>0</v>
      </c>
      <c r="Q435" s="50"/>
      <c r="R435" s="50">
        <f>L434-R434</f>
        <v>0</v>
      </c>
      <c r="S435" s="50"/>
      <c r="T435" s="50">
        <f>L434-T434</f>
        <v>0</v>
      </c>
      <c r="U435" s="50"/>
      <c r="V435" s="50">
        <f>L434-V434</f>
        <v>0</v>
      </c>
    </row>
    <row r="436" spans="3:122" ht="11.25" customHeight="1" x14ac:dyDescent="0.2">
      <c r="I436" s="139" t="str">
        <f>ß101</f>
        <v>Kropp</v>
      </c>
      <c r="J436" s="139"/>
      <c r="K436" s="139" t="str">
        <f>ß102</f>
        <v>Nörnberg</v>
      </c>
      <c r="L436" s="139"/>
      <c r="M436" s="139" t="str">
        <f>ß103</f>
        <v>Bübel</v>
      </c>
      <c r="N436" s="139"/>
      <c r="O436" s="139" t="str">
        <f>ß104</f>
        <v>Schwicht.</v>
      </c>
      <c r="P436" s="139"/>
      <c r="Q436" s="139" t="str">
        <f>ß105</f>
        <v>Rontzko.</v>
      </c>
      <c r="R436" s="139"/>
      <c r="S436" s="139" t="str">
        <f>ß106</f>
        <v>Hauschildt</v>
      </c>
      <c r="T436" s="139"/>
      <c r="U436" s="139" t="str">
        <f>ß107</f>
        <v>Zerres</v>
      </c>
      <c r="V436" s="139"/>
      <c r="AF436" s="11"/>
      <c r="AG436" s="11"/>
      <c r="AH436" s="11"/>
      <c r="AI436" s="11"/>
      <c r="AJ436" s="11"/>
      <c r="AL436" s="5" t="str">
        <f>IF($I449=$AL449,I436,"x")</f>
        <v>Kropp</v>
      </c>
      <c r="AM436" s="5" t="str">
        <f>IF($K449=$AL449,K436,"x")</f>
        <v>Nörnberg</v>
      </c>
      <c r="AN436" s="5" t="str">
        <f>IF($M449=$AL449,M436,"x")</f>
        <v>Bübel</v>
      </c>
      <c r="AO436" s="5" t="str">
        <f>IF($O449=$AL449,O436,"x")</f>
        <v>Schwicht.</v>
      </c>
      <c r="AP436" s="5" t="str">
        <f>IF($Q449=$AL449,Q436,"x")</f>
        <v>Rontzko.</v>
      </c>
      <c r="AQ436" s="5" t="str">
        <f>IF($S449=$AL449,S436,"x")</f>
        <v>Hauschildt</v>
      </c>
      <c r="AR436" s="5" t="str">
        <f>IF($U449=$AL449,U436,"x")</f>
        <v>Zerres</v>
      </c>
      <c r="AS436" s="13" t="str">
        <f>IF($I449=$AM449,I436,"x")</f>
        <v>Kropp</v>
      </c>
      <c r="AT436" s="5" t="str">
        <f>IF($K449=$AM449,K436,"x")</f>
        <v>Nörnberg</v>
      </c>
      <c r="AU436" s="5" t="str">
        <f>IF($M449=$AM449,M436,"x")</f>
        <v>Bübel</v>
      </c>
      <c r="AV436" s="5" t="str">
        <f>IF($O449=$AM449,O436,"x")</f>
        <v>Schwicht.</v>
      </c>
      <c r="AW436" s="5" t="str">
        <f>IF($Q449=$AM449,Q436,"x")</f>
        <v>Rontzko.</v>
      </c>
      <c r="AX436" s="5" t="str">
        <f>IF($S449=$AM449,S436,"x")</f>
        <v>Hauschildt</v>
      </c>
      <c r="AY436" s="5" t="str">
        <f>IF($U449=$AM449,U436,"x")</f>
        <v>Zerres</v>
      </c>
      <c r="BD436" s="140" t="str">
        <f>ß01</f>
        <v>Bayern</v>
      </c>
      <c r="BE436" s="140"/>
      <c r="BF436" s="140"/>
      <c r="BG436" s="141" t="str">
        <f>ß02</f>
        <v>Leipzig</v>
      </c>
      <c r="BH436" s="141"/>
      <c r="BI436" s="141"/>
      <c r="BJ436" s="141" t="str">
        <f>ß03</f>
        <v>Leverk.</v>
      </c>
      <c r="BK436" s="141"/>
      <c r="BL436" s="141"/>
      <c r="BM436" s="141" t="str">
        <f>ß04</f>
        <v>Hoffenheim</v>
      </c>
      <c r="BN436" s="141"/>
      <c r="BO436" s="141"/>
      <c r="BP436" s="141" t="str">
        <f>ß05</f>
        <v>Frankfurt</v>
      </c>
      <c r="BQ436" s="141"/>
      <c r="BR436" s="141"/>
      <c r="BS436" s="141" t="str">
        <f>ß06</f>
        <v>Werder</v>
      </c>
      <c r="BT436" s="141"/>
      <c r="BU436" s="141"/>
      <c r="BV436" s="141" t="str">
        <f>ß07</f>
        <v>Freiburg</v>
      </c>
      <c r="BW436" s="141"/>
      <c r="BX436" s="141"/>
      <c r="BY436" s="141" t="str">
        <f>ß08</f>
        <v>Augsburg</v>
      </c>
      <c r="BZ436" s="141"/>
      <c r="CA436" s="141"/>
      <c r="CB436" s="141" t="str">
        <f>ß09</f>
        <v>Mainz</v>
      </c>
      <c r="CC436" s="141"/>
      <c r="CD436" s="141"/>
      <c r="CE436" s="141" t="str">
        <f>ß10</f>
        <v>Köln</v>
      </c>
      <c r="CF436" s="141"/>
      <c r="CG436" s="141"/>
      <c r="CH436" s="141" t="str">
        <f>ß11</f>
        <v>M'gladb.</v>
      </c>
      <c r="CI436" s="141"/>
      <c r="CJ436" s="141"/>
      <c r="CK436" s="141" t="str">
        <f>ß12</f>
        <v>HSV</v>
      </c>
      <c r="CL436" s="141"/>
      <c r="CM436" s="141"/>
      <c r="CN436" s="141" t="str">
        <f>ß13</f>
        <v>Union</v>
      </c>
      <c r="CO436" s="141"/>
      <c r="CP436" s="141"/>
      <c r="CQ436" s="141" t="str">
        <f>ß14</f>
        <v>Stuttgart</v>
      </c>
      <c r="CR436" s="141"/>
      <c r="CS436" s="141"/>
      <c r="CT436" s="141" t="str">
        <f>ß15</f>
        <v>St. Pauli</v>
      </c>
      <c r="CU436" s="141"/>
      <c r="CV436" s="141"/>
      <c r="CW436" s="141" t="str">
        <f>ß16</f>
        <v>Dortmund</v>
      </c>
      <c r="CX436" s="141"/>
      <c r="CY436" s="141"/>
      <c r="CZ436" s="141" t="str">
        <f>ß17</f>
        <v>Heidenheim</v>
      </c>
      <c r="DA436" s="141"/>
      <c r="DB436" s="141"/>
      <c r="DC436" s="141" t="str">
        <f>ß18</f>
        <v>Wolfsburg</v>
      </c>
      <c r="DD436" s="141"/>
      <c r="DE436" s="141"/>
    </row>
    <row r="437" spans="3:122" ht="11.25" customHeight="1" x14ac:dyDescent="0.2">
      <c r="C437" s="16" t="str">
        <f>Mannschaften!F30</f>
        <v>30. Spieltag</v>
      </c>
      <c r="D437" s="11"/>
      <c r="E437" s="17" t="str">
        <f>Mannschaften!G30</f>
        <v>17.-19.4.26</v>
      </c>
      <c r="I437" s="19">
        <f>RANK(Rang!A30,Rang!A30:G30)</f>
        <v>1</v>
      </c>
      <c r="J437" s="20">
        <f>RANK(Rang!H30,Rang!H30:N30)</f>
        <v>1</v>
      </c>
      <c r="K437" s="19">
        <f>RANK(Rang!B30,Rang!A30:G30)</f>
        <v>1</v>
      </c>
      <c r="L437" s="20">
        <f>RANK(Rang!I30,Rang!H30:N30)</f>
        <v>1</v>
      </c>
      <c r="M437" s="19">
        <f>RANK(Rang!C30,Rang!A30:G30)</f>
        <v>1</v>
      </c>
      <c r="N437" s="20">
        <f>RANK(Rang!J30,Rang!H30:N30)</f>
        <v>1</v>
      </c>
      <c r="O437" s="19">
        <f>RANK(Rang!D30,Rang!A30:G30)</f>
        <v>1</v>
      </c>
      <c r="P437" s="20">
        <f>RANK(Rang!K30,Rang!H30:N30)</f>
        <v>1</v>
      </c>
      <c r="Q437" s="19">
        <f>RANK(Rang!E30,Rang!A30:G30)</f>
        <v>1</v>
      </c>
      <c r="R437" s="20">
        <f>RANK(Rang!L30,Rang!H30:N30)</f>
        <v>1</v>
      </c>
      <c r="S437" s="19">
        <f>RANK(Rang!F30,Rang!A30:G30)</f>
        <v>1</v>
      </c>
      <c r="T437" s="20">
        <f>RANK(Rang!M30,Rang!H30:N30)</f>
        <v>1</v>
      </c>
      <c r="U437" s="19">
        <f>RANK(Rang!G30,Rang!A30:G30)</f>
        <v>1</v>
      </c>
      <c r="V437" s="20">
        <f>RANK(Rang!N30,Rang!H30:N30)</f>
        <v>1</v>
      </c>
      <c r="AF437" s="22"/>
      <c r="AG437" s="22"/>
      <c r="AH437" s="22"/>
      <c r="AI437" s="22"/>
      <c r="AJ437" s="22"/>
      <c r="AK437" s="21"/>
      <c r="AL437" s="21"/>
      <c r="AM437" s="21"/>
      <c r="AN437" s="21"/>
      <c r="AO437" s="21"/>
      <c r="AP437" s="21"/>
      <c r="AQ437" s="21"/>
      <c r="AR437" s="21"/>
      <c r="AS437" s="24"/>
      <c r="AT437" s="21"/>
      <c r="AU437" s="21"/>
      <c r="AV437" s="21"/>
      <c r="AW437" s="21"/>
      <c r="AX437" s="21"/>
      <c r="AY437" s="21"/>
      <c r="AZ437" s="21"/>
      <c r="BA437" s="21"/>
      <c r="BB437" s="21"/>
      <c r="BD437" s="25" t="s">
        <v>4</v>
      </c>
      <c r="BE437" s="25" t="s">
        <v>5</v>
      </c>
      <c r="BF437" s="26" t="s">
        <v>6</v>
      </c>
      <c r="BG437" s="27" t="s">
        <v>4</v>
      </c>
      <c r="BH437" s="25" t="s">
        <v>5</v>
      </c>
      <c r="BI437" s="26" t="s">
        <v>6</v>
      </c>
      <c r="BJ437" s="27" t="s">
        <v>4</v>
      </c>
      <c r="BK437" s="25" t="s">
        <v>5</v>
      </c>
      <c r="BL437" s="26" t="s">
        <v>6</v>
      </c>
      <c r="BM437" s="27" t="s">
        <v>4</v>
      </c>
      <c r="BN437" s="25" t="s">
        <v>5</v>
      </c>
      <c r="BO437" s="26" t="s">
        <v>6</v>
      </c>
      <c r="BP437" s="27" t="s">
        <v>4</v>
      </c>
      <c r="BQ437" s="25" t="s">
        <v>5</v>
      </c>
      <c r="BR437" s="26" t="s">
        <v>6</v>
      </c>
      <c r="BS437" s="27" t="s">
        <v>4</v>
      </c>
      <c r="BT437" s="25" t="s">
        <v>5</v>
      </c>
      <c r="BU437" s="26" t="s">
        <v>6</v>
      </c>
      <c r="BV437" s="27" t="s">
        <v>4</v>
      </c>
      <c r="BW437" s="25" t="s">
        <v>5</v>
      </c>
      <c r="BX437" s="26" t="s">
        <v>6</v>
      </c>
      <c r="BY437" s="27" t="s">
        <v>4</v>
      </c>
      <c r="BZ437" s="25" t="s">
        <v>5</v>
      </c>
      <c r="CA437" s="26" t="s">
        <v>6</v>
      </c>
      <c r="CB437" s="27" t="s">
        <v>4</v>
      </c>
      <c r="CC437" s="25" t="s">
        <v>5</v>
      </c>
      <c r="CD437" s="26" t="s">
        <v>6</v>
      </c>
      <c r="CE437" s="27" t="s">
        <v>4</v>
      </c>
      <c r="CF437" s="25" t="s">
        <v>5</v>
      </c>
      <c r="CG437" s="26" t="s">
        <v>6</v>
      </c>
      <c r="CH437" s="27" t="s">
        <v>4</v>
      </c>
      <c r="CI437" s="25" t="s">
        <v>5</v>
      </c>
      <c r="CJ437" s="26" t="s">
        <v>6</v>
      </c>
      <c r="CK437" s="27" t="s">
        <v>4</v>
      </c>
      <c r="CL437" s="25" t="s">
        <v>5</v>
      </c>
      <c r="CM437" s="26" t="s">
        <v>6</v>
      </c>
      <c r="CN437" s="27" t="s">
        <v>4</v>
      </c>
      <c r="CO437" s="25" t="s">
        <v>5</v>
      </c>
      <c r="CP437" s="26" t="s">
        <v>6</v>
      </c>
      <c r="CQ437" s="27" t="s">
        <v>4</v>
      </c>
      <c r="CR437" s="25" t="s">
        <v>5</v>
      </c>
      <c r="CS437" s="26" t="s">
        <v>6</v>
      </c>
      <c r="CT437" s="27" t="s">
        <v>4</v>
      </c>
      <c r="CU437" s="25" t="s">
        <v>5</v>
      </c>
      <c r="CV437" s="26" t="s">
        <v>6</v>
      </c>
      <c r="CW437" s="27" t="s">
        <v>4</v>
      </c>
      <c r="CX437" s="25" t="s">
        <v>5</v>
      </c>
      <c r="CY437" s="26" t="s">
        <v>6</v>
      </c>
      <c r="CZ437" s="27" t="s">
        <v>4</v>
      </c>
      <c r="DA437" s="25" t="s">
        <v>5</v>
      </c>
      <c r="DB437" s="26" t="s">
        <v>6</v>
      </c>
      <c r="DC437" s="27" t="s">
        <v>4</v>
      </c>
      <c r="DD437" s="25" t="s">
        <v>5</v>
      </c>
      <c r="DE437" s="26" t="s">
        <v>6</v>
      </c>
      <c r="DF437" s="21"/>
      <c r="DG437" s="21"/>
      <c r="DH437" s="21"/>
      <c r="DN437" s="136" t="s">
        <v>7</v>
      </c>
      <c r="DO437" s="136"/>
      <c r="DP437" s="136" t="s">
        <v>8</v>
      </c>
      <c r="DQ437" s="136"/>
      <c r="DR437" s="28"/>
    </row>
    <row r="438" spans="3:122" ht="11.25" customHeight="1" x14ac:dyDescent="0.2">
      <c r="C438" s="2" t="str">
        <f t="shared" ref="C438:C446" si="435">E183</f>
        <v>Hoffenheim</v>
      </c>
      <c r="D438" s="3" t="s">
        <v>11</v>
      </c>
      <c r="E438" s="2" t="str">
        <f t="shared" ref="E438:E446" si="436">C183</f>
        <v>Dortmund</v>
      </c>
      <c r="F438" s="29"/>
      <c r="G438" s="3" t="s">
        <v>12</v>
      </c>
      <c r="H438" s="30"/>
      <c r="I438" s="31"/>
      <c r="J438" s="32" t="str">
        <f t="shared" ref="J438:J446" si="437">IF($F438="","",(IF(I438="","",IF(I438=$DG438,(VLOOKUP($DH438,$DJ$3:$DK$11,2,FALSE())),0))))</f>
        <v/>
      </c>
      <c r="K438" s="31"/>
      <c r="L438" s="32" t="str">
        <f t="shared" ref="L438:L446" si="438">IF($F438="","",(IF(K438="","",IF(K438=$DG438,(VLOOKUP($DH438,$DJ$3:$DK$11,2,FALSE())),0))))</f>
        <v/>
      </c>
      <c r="M438" s="31"/>
      <c r="N438" s="32" t="str">
        <f t="shared" ref="N438:N446" si="439">IF($F438="","",(IF(M438="","",IF(M438=$DG438,(VLOOKUP($DH438,$DJ$3:$DK$11,2,FALSE())),0))))</f>
        <v/>
      </c>
      <c r="O438" s="31"/>
      <c r="P438" s="32" t="str">
        <f t="shared" ref="P438:P446" si="440">IF($F438="","",(IF(O438="","",IF(O438=$DG438,(VLOOKUP($DH438,$DJ$3:$DK$11,2,FALSE())),0))))</f>
        <v/>
      </c>
      <c r="Q438" s="31"/>
      <c r="R438" s="32" t="str">
        <f t="shared" ref="R438:R446" si="441">IF($F438="","",(IF(Q438="","",IF(Q438=$DG438,(VLOOKUP($DH438,$DJ$3:$DK$11,2,FALSE())),0))))</f>
        <v/>
      </c>
      <c r="S438" s="31"/>
      <c r="T438" s="32" t="str">
        <f t="shared" ref="T438:T446" si="442">IF($F438="","",(IF(S438="","",IF(S438=$DG438,(VLOOKUP($DH438,$DJ$3:$DK$11,2,FALSE())),0))))</f>
        <v/>
      </c>
      <c r="U438" s="31"/>
      <c r="V438" s="32" t="str">
        <f t="shared" ref="V438:V446" si="443">IF($F438="","",(IF(U438="","",IF(U438=$DG438,(VLOOKUP($DH438,$DJ$3:$DK$11,2,FALSE())),0))))</f>
        <v/>
      </c>
      <c r="AF438" s="34"/>
      <c r="AG438" s="34"/>
      <c r="AH438" s="34"/>
      <c r="AI438" s="34"/>
      <c r="AJ438" s="34"/>
      <c r="AN438" s="5"/>
      <c r="AO438" s="5"/>
      <c r="AP438" s="5"/>
      <c r="AQ438" s="5"/>
      <c r="AR438" s="5"/>
      <c r="AS438" s="13"/>
      <c r="AT438" s="5"/>
      <c r="AU438" s="5"/>
      <c r="AV438" s="5"/>
      <c r="AW438" s="5"/>
      <c r="AX438" s="5"/>
      <c r="AY438" s="5"/>
      <c r="BC438" s="6">
        <v>437</v>
      </c>
      <c r="BD438" s="35">
        <f>IF(ISERROR(MATCH(ß01,$C438:$C446,0)),"",MATCH(ß01,$C438:$C446,0))</f>
        <v>4</v>
      </c>
      <c r="BE438" s="35" t="str">
        <f>IF(ISERROR(MATCH(ß01,$E438:$E446,0)),"",MATCH(ß01,$E438:$E446,0))</f>
        <v/>
      </c>
      <c r="BF438" s="15">
        <f>SUM(BD438:BE438)+BC438</f>
        <v>441</v>
      </c>
      <c r="BG438" s="36" t="str">
        <f>IF(ISERROR(MATCH(ß02,$C438:$C446,0)),"",MATCH(ß02,$C438:$C446,0))</f>
        <v/>
      </c>
      <c r="BH438" s="35">
        <f>IF(ISERROR(MATCH(ß02,$E438:$E446,0)),"",MATCH(ß02,$E438:$E446,0))</f>
        <v>3</v>
      </c>
      <c r="BI438" s="15">
        <f>SUM(BG438:BH438)+BC438</f>
        <v>440</v>
      </c>
      <c r="BJ438" s="36">
        <f>IF(ISERROR(MATCH(ß03,$C438:$C446,0)),"",MATCH(ß03,$C438:$C446,0))</f>
        <v>6</v>
      </c>
      <c r="BK438" s="35" t="str">
        <f>IF(ISERROR(MATCH(ß03,$E438:$E446,0)),"",MATCH(ß03,$E438:$E446,0))</f>
        <v/>
      </c>
      <c r="BL438" s="15">
        <f>SUM(BJ438:BK438)+BC438</f>
        <v>443</v>
      </c>
      <c r="BM438" s="36">
        <f>IF(ISERROR(MATCH(ß04,$C438:$C446,0)),"",MATCH(ß04,$C438:$C446,0))</f>
        <v>1</v>
      </c>
      <c r="BN438" s="35" t="str">
        <f>IF(ISERROR(MATCH(ß04,$E438:$E446,0)),"",MATCH(ß04,$E438:$E446,0))</f>
        <v/>
      </c>
      <c r="BO438" s="15">
        <f>SUM(BM438:BN438)+BC438</f>
        <v>438</v>
      </c>
      <c r="BP438" s="36">
        <f>IF(ISERROR(MATCH(ß05,$C438:$C446,0)),"",MATCH(ß05,$C438:$C446,0))</f>
        <v>3</v>
      </c>
      <c r="BQ438" s="35" t="str">
        <f>IF(ISERROR(MATCH(ß05,$E438:$E446,0)),"",MATCH(ß05,$E438:$E446,0))</f>
        <v/>
      </c>
      <c r="BR438" s="15">
        <f>SUM(BP438:BQ438)+BC438</f>
        <v>440</v>
      </c>
      <c r="BS438" s="36">
        <f>IF(ISERROR(MATCH(ß06,$C438:$C446,0)),"",MATCH(ß06,$C438:$C446,0))</f>
        <v>9</v>
      </c>
      <c r="BT438" s="35" t="str">
        <f>IF(ISERROR(MATCH(ß06,$E438:$E446,0)),"",MATCH(ß06,$E438:$E446,0))</f>
        <v/>
      </c>
      <c r="BU438" s="15">
        <f>SUM(BS438:BT438)+BC438</f>
        <v>446</v>
      </c>
      <c r="BV438" s="36">
        <f>IF(ISERROR(MATCH(ß07,$C438:$C446,0)),"",MATCH(ß07,$C438:$C446,0))</f>
        <v>7</v>
      </c>
      <c r="BW438" s="35" t="str">
        <f>IF(ISERROR(MATCH(ß07,$E438:$E446,0)),"",MATCH(ß07,$E438:$E446,0))</f>
        <v/>
      </c>
      <c r="BX438" s="15">
        <f>SUM(BV438:BW438)+BC438</f>
        <v>444</v>
      </c>
      <c r="BY438" s="36" t="str">
        <f>IF(ISERROR(MATCH(ß08,$C438:$C446,0)),"",MATCH(ß08,$C438:$C446,0))</f>
        <v/>
      </c>
      <c r="BZ438" s="35">
        <f>IF(ISERROR(MATCH(ß08,$E438:$E446,0)),"",MATCH(ß08,$E438:$E446,0))</f>
        <v>6</v>
      </c>
      <c r="CA438" s="15">
        <f>SUM(BY438:BZ438)+BC438</f>
        <v>443</v>
      </c>
      <c r="CB438" s="36" t="str">
        <f>IF(ISERROR(MATCH(ß09,$C438:$C446,0)),"",MATCH(ß09,$C438:$C446,0))</f>
        <v/>
      </c>
      <c r="CC438" s="35">
        <f>IF(ISERROR(MATCH(ß09,$E438:$E446,0)),"",MATCH(ß09,$E438:$E446,0))</f>
        <v>2</v>
      </c>
      <c r="CD438" s="15">
        <f>SUM(CB438:CC438)+BC438</f>
        <v>439</v>
      </c>
      <c r="CE438" s="36" t="str">
        <f>IF(ISERROR(MATCH(ß10,$C438:$C446,0)),"",MATCH(ß10,$C438:$C446,0))</f>
        <v/>
      </c>
      <c r="CF438" s="35">
        <f>IF(ISERROR(MATCH(ß10,$E438:$E446,0)),"",MATCH(ß10,$E438:$E446,0))</f>
        <v>8</v>
      </c>
      <c r="CG438" s="15">
        <f>SUM(CE438:CF438)+BC438</f>
        <v>445</v>
      </c>
      <c r="CH438" s="36">
        <f>IF(ISERROR(MATCH(ß11,$C438:$C446,0)),"",MATCH(ß11,$C438:$C446,0))</f>
        <v>2</v>
      </c>
      <c r="CI438" s="35" t="str">
        <f>IF(ISERROR(MATCH(ß11,$E438:$E446,0)),"",MATCH(ß11,$E438:$E446,0))</f>
        <v/>
      </c>
      <c r="CJ438" s="15">
        <f>SUM(CH438:CI438)+BC438</f>
        <v>439</v>
      </c>
      <c r="CK438" s="36" t="str">
        <f>IF(ISERROR(MATCH(ß12,$C438:$C446,0)),"",MATCH(ß12,$C438:$C446,0))</f>
        <v/>
      </c>
      <c r="CL438" s="35">
        <f>IF(ISERROR(MATCH(ß12,$E438:$E446,0)),"",MATCH(ß12,$E438:$E446,0))</f>
        <v>9</v>
      </c>
      <c r="CM438" s="15">
        <f>SUM(CK438:CL438)+BC438</f>
        <v>446</v>
      </c>
      <c r="CN438" s="36">
        <f>IF(ISERROR(MATCH(ß13,$C438:$C446,0)),"",MATCH(ß13,$C438:$C446,0))</f>
        <v>5</v>
      </c>
      <c r="CO438" s="35" t="str">
        <f>IF(ISERROR(MATCH(ß13,$E438:$E446,0)),"",MATCH(ß13,$E438:$E446,0))</f>
        <v/>
      </c>
      <c r="CP438" s="15">
        <f>SUM(CN438:CO438)+BC438</f>
        <v>442</v>
      </c>
      <c r="CQ438" s="36" t="str">
        <f>IF(ISERROR(MATCH(ß14,$C438:$C446,0)),"",MATCH(ß14,$C438:$C446,0))</f>
        <v/>
      </c>
      <c r="CR438" s="35">
        <f>IF(ISERROR(MATCH(ß14,$E438:$E446,0)),"",MATCH(ß14,$E438:$E446,0))</f>
        <v>4</v>
      </c>
      <c r="CS438" s="15">
        <f>SUM(CQ438:CR438)+BC438</f>
        <v>441</v>
      </c>
      <c r="CT438" s="36">
        <f>IF(ISERROR(MATCH(ß15,$C438:$C446,0)),"",MATCH(ß15,$C438:$C446,0))</f>
        <v>8</v>
      </c>
      <c r="CU438" s="35" t="str">
        <f>IF(ISERROR(MATCH(ß15,$E438:$E446,0)),"",MATCH(ß15,$E438:$E446,0))</f>
        <v/>
      </c>
      <c r="CV438" s="15">
        <f>SUM(CT438:CU438)+BC438</f>
        <v>445</v>
      </c>
      <c r="CW438" s="36" t="str">
        <f>IF(ISERROR(MATCH(ß16,$C438:$C446,0)),"",MATCH(ß16,$C438:$C446,0))</f>
        <v/>
      </c>
      <c r="CX438" s="35">
        <f>IF(ISERROR(MATCH(ß16,$E438:$E446,0)),"",MATCH(ß16,$E438:$E446,0))</f>
        <v>1</v>
      </c>
      <c r="CY438" s="15">
        <f>SUM(CW438:CX438)+BC438</f>
        <v>438</v>
      </c>
      <c r="CZ438" s="36" t="str">
        <f>IF(ISERROR(MATCH(ß17,$C438:$C446,0)),"",MATCH(ß17,$C438:$C446,0))</f>
        <v/>
      </c>
      <c r="DA438" s="35">
        <f>IF(ISERROR(MATCH(ß17,$E438:$E446,0)),"",MATCH(ß17,$E438:$E446,0))</f>
        <v>7</v>
      </c>
      <c r="DB438" s="15">
        <f>SUM(CZ438:DA438)+BC438</f>
        <v>444</v>
      </c>
      <c r="DC438" s="36" t="str">
        <f>IF(ISERROR(MATCH(ß18,$C438:$C446,0)),"",MATCH(ß18,$C438:$C446,0))</f>
        <v/>
      </c>
      <c r="DD438" s="35">
        <f>IF(ISERROR(MATCH(ß18,$E438:$E446,0)),"",MATCH(ß18,$E438:$E446,0))</f>
        <v>5</v>
      </c>
      <c r="DE438" s="15">
        <f>SUM(DC438:DD438)+BC438</f>
        <v>442</v>
      </c>
      <c r="DG438" s="8" t="str">
        <f t="shared" ref="DG438:DG446" si="444">IF(F438="","",(IF(F438=H438,0,IF(F438&gt;H438,1,IF(F438&lt;H438,2)))))</f>
        <v/>
      </c>
      <c r="DH438" s="3">
        <f>COUNTIF(I438,DG438)+COUNTIF(K438,DG438)+COUNTIF(M438,DG438)+COUNTIF(O438,DG438)+COUNTIF(Q438,DG438)+COUNTIF(S438,DG438)+COUNTIF(U438,DG438)</f>
        <v>7</v>
      </c>
      <c r="DN438" s="12">
        <f t="shared" ref="DN438:DN446" si="445">F438</f>
        <v>0</v>
      </c>
      <c r="DO438" s="5">
        <f t="shared" ref="DO438:DO446" si="446">H438</f>
        <v>0</v>
      </c>
      <c r="DP438" s="5" t="str">
        <f t="shared" ref="DP438:DP446" si="447">IF($F438="","",IF(DN438&gt;DO438,3,IF(DN438&lt;DO438,0,1)))</f>
        <v/>
      </c>
      <c r="DQ438" s="5" t="str">
        <f t="shared" ref="DQ438:DQ446" si="448">IF($H438="","",IF(DO438&gt;DN438,3,IF(DO438&lt;DN438,0,1)))</f>
        <v/>
      </c>
      <c r="DR438" s="5">
        <f t="shared" ref="DR438:DR446" si="449">IF(ISBLANK(F438),0,1)</f>
        <v>0</v>
      </c>
    </row>
    <row r="439" spans="3:122" ht="11.25" customHeight="1" x14ac:dyDescent="0.2">
      <c r="C439" s="2" t="str">
        <f t="shared" si="435"/>
        <v>M'gladb.</v>
      </c>
      <c r="D439" s="3" t="s">
        <v>11</v>
      </c>
      <c r="E439" s="2" t="str">
        <f t="shared" si="436"/>
        <v>Mainz</v>
      </c>
      <c r="F439" s="29"/>
      <c r="G439" s="3" t="s">
        <v>12</v>
      </c>
      <c r="H439" s="30"/>
      <c r="I439" s="37"/>
      <c r="J439" s="38" t="str">
        <f t="shared" si="437"/>
        <v/>
      </c>
      <c r="K439" s="37"/>
      <c r="L439" s="38" t="str">
        <f t="shared" si="438"/>
        <v/>
      </c>
      <c r="M439" s="37"/>
      <c r="N439" s="38" t="str">
        <f t="shared" si="439"/>
        <v/>
      </c>
      <c r="O439" s="37"/>
      <c r="P439" s="38" t="str">
        <f t="shared" si="440"/>
        <v/>
      </c>
      <c r="Q439" s="37"/>
      <c r="R439" s="38" t="str">
        <f t="shared" si="441"/>
        <v/>
      </c>
      <c r="S439" s="37"/>
      <c r="T439" s="38" t="str">
        <f t="shared" si="442"/>
        <v/>
      </c>
      <c r="U439" s="37"/>
      <c r="V439" s="38" t="str">
        <f t="shared" si="443"/>
        <v/>
      </c>
      <c r="AF439" s="34"/>
      <c r="AG439" s="34"/>
      <c r="AH439" s="34"/>
      <c r="AI439" s="34"/>
      <c r="AJ439" s="34"/>
      <c r="DG439" s="8" t="str">
        <f t="shared" si="444"/>
        <v/>
      </c>
      <c r="DH439" s="3">
        <f t="shared" ref="DH439:DH446" si="450">COUNTIF(I439,DG439)+COUNTIF(K439,DG439)+COUNTIF(M439,DG439)+COUNTIF(O439,DG439)+COUNTIF(Q439,DG439)+COUNTIF(S439,DG439)+COUNTIF(U439,DG439)</f>
        <v>7</v>
      </c>
      <c r="DN439" s="12">
        <f t="shared" si="445"/>
        <v>0</v>
      </c>
      <c r="DO439" s="5">
        <f t="shared" si="446"/>
        <v>0</v>
      </c>
      <c r="DP439" s="5" t="str">
        <f t="shared" si="447"/>
        <v/>
      </c>
      <c r="DQ439" s="5" t="str">
        <f t="shared" si="448"/>
        <v/>
      </c>
      <c r="DR439" s="5">
        <f t="shared" si="449"/>
        <v>0</v>
      </c>
    </row>
    <row r="440" spans="3:122" ht="11.25" customHeight="1" x14ac:dyDescent="0.2">
      <c r="C440" s="2" t="str">
        <f t="shared" si="435"/>
        <v>Frankfurt</v>
      </c>
      <c r="D440" s="3" t="s">
        <v>11</v>
      </c>
      <c r="E440" s="2" t="str">
        <f t="shared" si="436"/>
        <v>Leipzig</v>
      </c>
      <c r="F440" s="29"/>
      <c r="G440" s="3" t="s">
        <v>12</v>
      </c>
      <c r="H440" s="30"/>
      <c r="I440" s="37"/>
      <c r="J440" s="38" t="str">
        <f t="shared" si="437"/>
        <v/>
      </c>
      <c r="K440" s="37"/>
      <c r="L440" s="38" t="str">
        <f t="shared" si="438"/>
        <v/>
      </c>
      <c r="M440" s="37"/>
      <c r="N440" s="38" t="str">
        <f t="shared" si="439"/>
        <v/>
      </c>
      <c r="O440" s="37"/>
      <c r="P440" s="38" t="str">
        <f t="shared" si="440"/>
        <v/>
      </c>
      <c r="Q440" s="37"/>
      <c r="R440" s="38" t="str">
        <f t="shared" si="441"/>
        <v/>
      </c>
      <c r="S440" s="37"/>
      <c r="T440" s="38" t="str">
        <f t="shared" si="442"/>
        <v/>
      </c>
      <c r="U440" s="37"/>
      <c r="V440" s="38" t="str">
        <f t="shared" si="443"/>
        <v/>
      </c>
      <c r="AF440" s="34"/>
      <c r="AG440" s="34"/>
      <c r="AH440" s="34"/>
      <c r="AI440" s="34"/>
      <c r="AJ440" s="34"/>
      <c r="DG440" s="8" t="str">
        <f t="shared" si="444"/>
        <v/>
      </c>
      <c r="DH440" s="3">
        <f t="shared" si="450"/>
        <v>7</v>
      </c>
      <c r="DN440" s="12">
        <f t="shared" si="445"/>
        <v>0</v>
      </c>
      <c r="DO440" s="5">
        <f t="shared" si="446"/>
        <v>0</v>
      </c>
      <c r="DP440" s="5" t="str">
        <f t="shared" si="447"/>
        <v/>
      </c>
      <c r="DQ440" s="5" t="str">
        <f t="shared" si="448"/>
        <v/>
      </c>
      <c r="DR440" s="5">
        <f t="shared" si="449"/>
        <v>0</v>
      </c>
    </row>
    <row r="441" spans="3:122" ht="11.25" customHeight="1" x14ac:dyDescent="0.2">
      <c r="C441" s="2" t="str">
        <f t="shared" si="435"/>
        <v>Bayern</v>
      </c>
      <c r="D441" s="3" t="s">
        <v>11</v>
      </c>
      <c r="E441" s="2" t="str">
        <f t="shared" si="436"/>
        <v>Stuttgart</v>
      </c>
      <c r="F441" s="29"/>
      <c r="G441" s="3" t="s">
        <v>12</v>
      </c>
      <c r="H441" s="30"/>
      <c r="I441" s="37"/>
      <c r="J441" s="38" t="str">
        <f t="shared" si="437"/>
        <v/>
      </c>
      <c r="K441" s="37"/>
      <c r="L441" s="38" t="str">
        <f t="shared" si="438"/>
        <v/>
      </c>
      <c r="M441" s="37"/>
      <c r="N441" s="38" t="str">
        <f t="shared" si="439"/>
        <v/>
      </c>
      <c r="O441" s="37"/>
      <c r="P441" s="38" t="str">
        <f t="shared" si="440"/>
        <v/>
      </c>
      <c r="Q441" s="37"/>
      <c r="R441" s="38" t="str">
        <f t="shared" si="441"/>
        <v/>
      </c>
      <c r="S441" s="37"/>
      <c r="T441" s="38" t="str">
        <f t="shared" si="442"/>
        <v/>
      </c>
      <c r="U441" s="37"/>
      <c r="V441" s="38" t="str">
        <f t="shared" si="443"/>
        <v/>
      </c>
      <c r="AF441" s="34"/>
      <c r="AG441" s="34"/>
      <c r="AH441" s="34"/>
      <c r="AI441" s="34"/>
      <c r="AJ441" s="34"/>
      <c r="DG441" s="8" t="str">
        <f t="shared" si="444"/>
        <v/>
      </c>
      <c r="DH441" s="3">
        <f t="shared" si="450"/>
        <v>7</v>
      </c>
      <c r="DN441" s="12">
        <f t="shared" si="445"/>
        <v>0</v>
      </c>
      <c r="DO441" s="5">
        <f t="shared" si="446"/>
        <v>0</v>
      </c>
      <c r="DP441" s="5" t="str">
        <f t="shared" si="447"/>
        <v/>
      </c>
      <c r="DQ441" s="5" t="str">
        <f t="shared" si="448"/>
        <v/>
      </c>
      <c r="DR441" s="5">
        <f t="shared" si="449"/>
        <v>0</v>
      </c>
    </row>
    <row r="442" spans="3:122" ht="11.25" customHeight="1" x14ac:dyDescent="0.2">
      <c r="C442" s="2" t="str">
        <f t="shared" si="435"/>
        <v>Union</v>
      </c>
      <c r="D442" s="3" t="s">
        <v>11</v>
      </c>
      <c r="E442" s="2" t="str">
        <f t="shared" si="436"/>
        <v>Wolfsburg</v>
      </c>
      <c r="F442" s="29"/>
      <c r="G442" s="3" t="s">
        <v>12</v>
      </c>
      <c r="H442" s="30"/>
      <c r="I442" s="37"/>
      <c r="J442" s="38" t="str">
        <f t="shared" si="437"/>
        <v/>
      </c>
      <c r="K442" s="37"/>
      <c r="L442" s="38" t="str">
        <f t="shared" si="438"/>
        <v/>
      </c>
      <c r="M442" s="37"/>
      <c r="N442" s="38" t="str">
        <f t="shared" si="439"/>
        <v/>
      </c>
      <c r="O442" s="37"/>
      <c r="P442" s="38" t="str">
        <f t="shared" si="440"/>
        <v/>
      </c>
      <c r="Q442" s="37"/>
      <c r="R442" s="38" t="str">
        <f t="shared" si="441"/>
        <v/>
      </c>
      <c r="S442" s="37"/>
      <c r="T442" s="38" t="str">
        <f t="shared" si="442"/>
        <v/>
      </c>
      <c r="U442" s="37"/>
      <c r="V442" s="38" t="str">
        <f t="shared" si="443"/>
        <v/>
      </c>
      <c r="AF442" s="34"/>
      <c r="AG442" s="34"/>
      <c r="AH442" s="34"/>
      <c r="AI442" s="34"/>
      <c r="AJ442" s="34"/>
      <c r="DG442" s="8" t="str">
        <f t="shared" si="444"/>
        <v/>
      </c>
      <c r="DH442" s="3">
        <f t="shared" si="450"/>
        <v>7</v>
      </c>
      <c r="DN442" s="12">
        <f t="shared" si="445"/>
        <v>0</v>
      </c>
      <c r="DO442" s="5">
        <f t="shared" si="446"/>
        <v>0</v>
      </c>
      <c r="DP442" s="5" t="str">
        <f t="shared" si="447"/>
        <v/>
      </c>
      <c r="DQ442" s="5" t="str">
        <f t="shared" si="448"/>
        <v/>
      </c>
      <c r="DR442" s="5">
        <f t="shared" si="449"/>
        <v>0</v>
      </c>
    </row>
    <row r="443" spans="3:122" ht="11.25" customHeight="1" x14ac:dyDescent="0.2">
      <c r="C443" s="2" t="str">
        <f t="shared" si="435"/>
        <v>Leverk.</v>
      </c>
      <c r="D443" s="3" t="s">
        <v>11</v>
      </c>
      <c r="E443" s="2" t="str">
        <f t="shared" si="436"/>
        <v>Augsburg</v>
      </c>
      <c r="F443" s="29"/>
      <c r="G443" s="3" t="s">
        <v>12</v>
      </c>
      <c r="H443" s="30"/>
      <c r="I443" s="37"/>
      <c r="J443" s="38" t="str">
        <f t="shared" si="437"/>
        <v/>
      </c>
      <c r="K443" s="37"/>
      <c r="L443" s="38" t="str">
        <f t="shared" si="438"/>
        <v/>
      </c>
      <c r="M443" s="37"/>
      <c r="N443" s="38" t="str">
        <f t="shared" si="439"/>
        <v/>
      </c>
      <c r="O443" s="37"/>
      <c r="P443" s="38" t="str">
        <f t="shared" si="440"/>
        <v/>
      </c>
      <c r="Q443" s="37"/>
      <c r="R443" s="38" t="str">
        <f t="shared" si="441"/>
        <v/>
      </c>
      <c r="S443" s="37"/>
      <c r="T443" s="38" t="str">
        <f t="shared" si="442"/>
        <v/>
      </c>
      <c r="U443" s="37"/>
      <c r="V443" s="38" t="str">
        <f t="shared" si="443"/>
        <v/>
      </c>
      <c r="AF443" s="34"/>
      <c r="AG443" s="34"/>
      <c r="AH443" s="34"/>
      <c r="AI443" s="34"/>
      <c r="AJ443" s="34"/>
      <c r="DG443" s="8" t="str">
        <f t="shared" si="444"/>
        <v/>
      </c>
      <c r="DH443" s="3">
        <f t="shared" si="450"/>
        <v>7</v>
      </c>
      <c r="DN443" s="12">
        <f t="shared" si="445"/>
        <v>0</v>
      </c>
      <c r="DO443" s="5">
        <f t="shared" si="446"/>
        <v>0</v>
      </c>
      <c r="DP443" s="5" t="str">
        <f t="shared" si="447"/>
        <v/>
      </c>
      <c r="DQ443" s="5" t="str">
        <f t="shared" si="448"/>
        <v/>
      </c>
      <c r="DR443" s="5">
        <f t="shared" si="449"/>
        <v>0</v>
      </c>
    </row>
    <row r="444" spans="3:122" ht="11.25" customHeight="1" x14ac:dyDescent="0.2">
      <c r="C444" s="2" t="str">
        <f t="shared" si="435"/>
        <v>Freiburg</v>
      </c>
      <c r="D444" s="3" t="s">
        <v>11</v>
      </c>
      <c r="E444" s="2" t="str">
        <f t="shared" si="436"/>
        <v>Heidenheim</v>
      </c>
      <c r="F444" s="29"/>
      <c r="G444" s="3" t="s">
        <v>12</v>
      </c>
      <c r="H444" s="30"/>
      <c r="I444" s="37"/>
      <c r="J444" s="38" t="str">
        <f t="shared" si="437"/>
        <v/>
      </c>
      <c r="K444" s="37"/>
      <c r="L444" s="38" t="str">
        <f t="shared" si="438"/>
        <v/>
      </c>
      <c r="M444" s="37"/>
      <c r="N444" s="38" t="str">
        <f t="shared" si="439"/>
        <v/>
      </c>
      <c r="O444" s="37"/>
      <c r="P444" s="38" t="str">
        <f t="shared" si="440"/>
        <v/>
      </c>
      <c r="Q444" s="37"/>
      <c r="R444" s="38" t="str">
        <f t="shared" si="441"/>
        <v/>
      </c>
      <c r="S444" s="37"/>
      <c r="T444" s="38" t="str">
        <f t="shared" si="442"/>
        <v/>
      </c>
      <c r="U444" s="37"/>
      <c r="V444" s="38" t="str">
        <f t="shared" si="443"/>
        <v/>
      </c>
      <c r="AF444" s="34"/>
      <c r="AG444" s="34"/>
      <c r="AH444" s="34"/>
      <c r="AI444" s="34"/>
      <c r="AJ444" s="34"/>
      <c r="DG444" s="8" t="str">
        <f t="shared" si="444"/>
        <v/>
      </c>
      <c r="DH444" s="3">
        <f t="shared" si="450"/>
        <v>7</v>
      </c>
      <c r="DN444" s="12">
        <f t="shared" si="445"/>
        <v>0</v>
      </c>
      <c r="DO444" s="5">
        <f t="shared" si="446"/>
        <v>0</v>
      </c>
      <c r="DP444" s="5" t="str">
        <f t="shared" si="447"/>
        <v/>
      </c>
      <c r="DQ444" s="5" t="str">
        <f t="shared" si="448"/>
        <v/>
      </c>
      <c r="DR444" s="5">
        <f t="shared" si="449"/>
        <v>0</v>
      </c>
    </row>
    <row r="445" spans="3:122" ht="11.25" customHeight="1" x14ac:dyDescent="0.2">
      <c r="C445" s="2" t="str">
        <f t="shared" si="435"/>
        <v>St. Pauli</v>
      </c>
      <c r="D445" s="3" t="s">
        <v>11</v>
      </c>
      <c r="E445" s="2" t="str">
        <f t="shared" si="436"/>
        <v>Köln</v>
      </c>
      <c r="F445" s="29"/>
      <c r="G445" s="3" t="s">
        <v>12</v>
      </c>
      <c r="H445" s="30"/>
      <c r="I445" s="37"/>
      <c r="J445" s="38" t="str">
        <f t="shared" si="437"/>
        <v/>
      </c>
      <c r="K445" s="37"/>
      <c r="L445" s="38" t="str">
        <f t="shared" si="438"/>
        <v/>
      </c>
      <c r="M445" s="37"/>
      <c r="N445" s="38" t="str">
        <f t="shared" si="439"/>
        <v/>
      </c>
      <c r="O445" s="37"/>
      <c r="P445" s="38" t="str">
        <f t="shared" si="440"/>
        <v/>
      </c>
      <c r="Q445" s="37"/>
      <c r="R445" s="38" t="str">
        <f t="shared" si="441"/>
        <v/>
      </c>
      <c r="S445" s="37"/>
      <c r="T445" s="38" t="str">
        <f t="shared" si="442"/>
        <v/>
      </c>
      <c r="U445" s="37"/>
      <c r="V445" s="38" t="str">
        <f t="shared" si="443"/>
        <v/>
      </c>
      <c r="AF445" s="34"/>
      <c r="AG445" s="34"/>
      <c r="AH445" s="34"/>
      <c r="AI445" s="34"/>
      <c r="AJ445" s="34"/>
      <c r="DG445" s="8" t="str">
        <f t="shared" si="444"/>
        <v/>
      </c>
      <c r="DH445" s="3">
        <f t="shared" si="450"/>
        <v>7</v>
      </c>
      <c r="DN445" s="12">
        <f t="shared" si="445"/>
        <v>0</v>
      </c>
      <c r="DO445" s="5">
        <f t="shared" si="446"/>
        <v>0</v>
      </c>
      <c r="DP445" s="5" t="str">
        <f t="shared" si="447"/>
        <v/>
      </c>
      <c r="DQ445" s="5" t="str">
        <f t="shared" si="448"/>
        <v/>
      </c>
      <c r="DR445" s="5">
        <f t="shared" si="449"/>
        <v>0</v>
      </c>
    </row>
    <row r="446" spans="3:122" ht="11.25" customHeight="1" thickBot="1" x14ac:dyDescent="0.25">
      <c r="C446" s="2" t="str">
        <f t="shared" si="435"/>
        <v>Werder</v>
      </c>
      <c r="D446" s="3" t="s">
        <v>11</v>
      </c>
      <c r="E446" s="2" t="str">
        <f t="shared" si="436"/>
        <v>HSV</v>
      </c>
      <c r="F446" s="29"/>
      <c r="G446" s="3" t="s">
        <v>12</v>
      </c>
      <c r="H446" s="30"/>
      <c r="I446" s="37"/>
      <c r="J446" s="38" t="str">
        <f t="shared" si="437"/>
        <v/>
      </c>
      <c r="K446" s="37"/>
      <c r="L446" s="38" t="str">
        <f t="shared" si="438"/>
        <v/>
      </c>
      <c r="M446" s="37"/>
      <c r="N446" s="38" t="str">
        <f t="shared" si="439"/>
        <v/>
      </c>
      <c r="O446" s="37"/>
      <c r="P446" s="38" t="str">
        <f t="shared" si="440"/>
        <v/>
      </c>
      <c r="Q446" s="37"/>
      <c r="R446" s="38" t="str">
        <f t="shared" si="441"/>
        <v/>
      </c>
      <c r="S446" s="37"/>
      <c r="T446" s="38" t="str">
        <f t="shared" si="442"/>
        <v/>
      </c>
      <c r="U446" s="37"/>
      <c r="V446" s="38" t="str">
        <f t="shared" si="443"/>
        <v/>
      </c>
      <c r="AF446" s="34"/>
      <c r="AG446" s="34"/>
      <c r="AH446" s="34"/>
      <c r="AI446" s="34"/>
      <c r="AJ446" s="34"/>
      <c r="DG446" s="8" t="str">
        <f t="shared" si="444"/>
        <v/>
      </c>
      <c r="DH446" s="3">
        <f t="shared" si="450"/>
        <v>7</v>
      </c>
      <c r="DN446" s="12">
        <f t="shared" si="445"/>
        <v>0</v>
      </c>
      <c r="DO446" s="5">
        <f t="shared" si="446"/>
        <v>0</v>
      </c>
      <c r="DP446" s="5" t="str">
        <f t="shared" si="447"/>
        <v/>
      </c>
      <c r="DQ446" s="5" t="str">
        <f t="shared" si="448"/>
        <v/>
      </c>
      <c r="DR446" s="5">
        <f t="shared" si="449"/>
        <v>0</v>
      </c>
    </row>
    <row r="447" spans="3:122" ht="11.25" customHeight="1" thickTop="1" x14ac:dyDescent="0.2">
      <c r="C447" s="41">
        <f>(I447+K447+M447+O447+Q447+S447+U447)</f>
        <v>0</v>
      </c>
      <c r="E447" s="42">
        <f>C447/8</f>
        <v>0</v>
      </c>
      <c r="F447" s="41">
        <f>SUM(F438:F446)</f>
        <v>0</v>
      </c>
      <c r="G447" s="2"/>
      <c r="H447" s="43">
        <f>SUM(H438:H446)</f>
        <v>0</v>
      </c>
      <c r="I447" s="44">
        <f>COUNTIF(J438:J446,"&gt;0")</f>
        <v>0</v>
      </c>
      <c r="J447" s="45">
        <f>I447+J432</f>
        <v>0</v>
      </c>
      <c r="K447" s="44">
        <f>COUNTIF(L438:L446,"&gt;0")</f>
        <v>0</v>
      </c>
      <c r="L447" s="45">
        <f>K447+L432</f>
        <v>0</v>
      </c>
      <c r="M447" s="44">
        <f>COUNTIF(N438:N446,"&gt;0")</f>
        <v>0</v>
      </c>
      <c r="N447" s="45">
        <f>M447+N432</f>
        <v>0</v>
      </c>
      <c r="O447" s="44">
        <f>COUNTIF(P438:P446,"&gt;0")</f>
        <v>0</v>
      </c>
      <c r="P447" s="45">
        <f>O447+P432</f>
        <v>0</v>
      </c>
      <c r="Q447" s="44">
        <f>COUNTIF(R438:R446,"&gt;0")</f>
        <v>0</v>
      </c>
      <c r="R447" s="45">
        <f>Q447+R432</f>
        <v>0</v>
      </c>
      <c r="S447" s="44">
        <f>COUNTIF(T438:T446,"&gt;0")</f>
        <v>0</v>
      </c>
      <c r="T447" s="45">
        <f>S447+T432</f>
        <v>0</v>
      </c>
      <c r="U447" s="44">
        <f>COUNTIF(V438:V446,"&gt;0")</f>
        <v>0</v>
      </c>
      <c r="V447" s="45">
        <f>U447+V432</f>
        <v>0</v>
      </c>
      <c r="AF447" s="34"/>
      <c r="AG447" s="34"/>
      <c r="AH447" s="34"/>
      <c r="AI447" s="34"/>
      <c r="AJ447" s="34"/>
    </row>
    <row r="448" spans="3:122" ht="11.25" customHeight="1" x14ac:dyDescent="0.2">
      <c r="C448" s="41">
        <f>(I448+K448+M448+O448+Q448+S448+U448)</f>
        <v>0</v>
      </c>
      <c r="E448" s="42">
        <f>C448/8</f>
        <v>0</v>
      </c>
      <c r="F448" s="137">
        <f>F447+H447</f>
        <v>0</v>
      </c>
      <c r="G448" s="137"/>
      <c r="H448" s="137"/>
      <c r="I448" s="46">
        <f>SUM(J438:J446)</f>
        <v>0</v>
      </c>
      <c r="J448" s="47">
        <f>I448+J433</f>
        <v>0</v>
      </c>
      <c r="K448" s="46">
        <f>SUM(L438:L446)</f>
        <v>0</v>
      </c>
      <c r="L448" s="47">
        <f>K448+L433</f>
        <v>0</v>
      </c>
      <c r="M448" s="46">
        <f>SUM(N438:N446)</f>
        <v>0</v>
      </c>
      <c r="N448" s="47">
        <f>M448+N433</f>
        <v>0</v>
      </c>
      <c r="O448" s="46">
        <f>SUM(P438:P446)</f>
        <v>0</v>
      </c>
      <c r="P448" s="47">
        <f>O448+P433</f>
        <v>0</v>
      </c>
      <c r="Q448" s="46">
        <f>SUM(R438:R446)</f>
        <v>0</v>
      </c>
      <c r="R448" s="47">
        <f>Q448+R433</f>
        <v>0</v>
      </c>
      <c r="S448" s="46">
        <f>SUM(T438:T446)</f>
        <v>0</v>
      </c>
      <c r="T448" s="47">
        <f>S448+T433</f>
        <v>0</v>
      </c>
      <c r="U448" s="46">
        <f>SUM(V438:V446)</f>
        <v>0</v>
      </c>
      <c r="V448" s="47">
        <f>U448+V433</f>
        <v>0</v>
      </c>
      <c r="AF448" s="34"/>
      <c r="AG448" s="34"/>
      <c r="AH448" s="34"/>
      <c r="AI448" s="34"/>
      <c r="AJ448" s="34"/>
    </row>
    <row r="449" spans="3:122" ht="11.25" customHeight="1" thickBot="1" x14ac:dyDescent="0.25">
      <c r="C449" s="41">
        <f>(I449+K449+M449+O449+Q449+S449+U449)</f>
        <v>0</v>
      </c>
      <c r="E449" s="42">
        <f>C449/8</f>
        <v>0</v>
      </c>
      <c r="F449" s="138">
        <f>F448+F434</f>
        <v>0</v>
      </c>
      <c r="G449" s="138"/>
      <c r="H449" s="138"/>
      <c r="I449" s="48">
        <f>I447*I448</f>
        <v>0</v>
      </c>
      <c r="J449" s="49">
        <f>I449+J434</f>
        <v>0</v>
      </c>
      <c r="K449" s="48">
        <f>K447*K448</f>
        <v>0</v>
      </c>
      <c r="L449" s="49">
        <f>K449+L434</f>
        <v>0</v>
      </c>
      <c r="M449" s="48">
        <f>M447*M448</f>
        <v>0</v>
      </c>
      <c r="N449" s="49">
        <f>M449+N434</f>
        <v>0</v>
      </c>
      <c r="O449" s="48">
        <f>O447*O448</f>
        <v>0</v>
      </c>
      <c r="P449" s="49">
        <f>O449+P434</f>
        <v>0</v>
      </c>
      <c r="Q449" s="48">
        <f>Q447*Q448</f>
        <v>0</v>
      </c>
      <c r="R449" s="49">
        <f>Q449+R434</f>
        <v>0</v>
      </c>
      <c r="S449" s="48">
        <f>S447*S448</f>
        <v>0</v>
      </c>
      <c r="T449" s="49">
        <f>S449+T434</f>
        <v>0</v>
      </c>
      <c r="U449" s="48">
        <f>U447*U448</f>
        <v>0</v>
      </c>
      <c r="V449" s="49">
        <f>U449+V434</f>
        <v>0</v>
      </c>
      <c r="AF449" s="34"/>
      <c r="AG449" s="34"/>
      <c r="AH449" s="34"/>
      <c r="AI449" s="34"/>
      <c r="AJ449" s="34"/>
      <c r="AL449" s="5">
        <f>MAX(I449,K449,M449,O449,Q449,S449,U449)</f>
        <v>0</v>
      </c>
      <c r="AM449" s="5">
        <f>MIN(I449,K449,M449,O449,Q449,S449,U449)</f>
        <v>0</v>
      </c>
      <c r="AN449" s="5"/>
      <c r="AO449" s="5"/>
      <c r="AP449" s="5"/>
      <c r="AQ449" s="5"/>
      <c r="AR449" s="5"/>
      <c r="AS449" s="13"/>
      <c r="AT449" s="5"/>
      <c r="AU449" s="5"/>
      <c r="AV449" s="5"/>
      <c r="AW449" s="5"/>
      <c r="AX449" s="5"/>
      <c r="AY449" s="5"/>
      <c r="AZ449" s="5"/>
      <c r="BA449" s="5"/>
      <c r="BB449" s="5"/>
      <c r="BD449" s="5"/>
      <c r="BE449" s="5"/>
      <c r="BF449" s="14"/>
      <c r="BG449" s="13"/>
      <c r="BH449" s="5"/>
      <c r="BI449" s="14"/>
      <c r="BJ449" s="13"/>
      <c r="BK449" s="5"/>
      <c r="BL449" s="14"/>
      <c r="BM449" s="13"/>
      <c r="BN449" s="5"/>
      <c r="BO449" s="14"/>
      <c r="BP449" s="13"/>
      <c r="BQ449" s="5"/>
      <c r="BR449" s="14"/>
      <c r="BS449" s="13"/>
      <c r="BT449" s="5"/>
      <c r="BU449" s="14"/>
      <c r="BV449" s="13"/>
      <c r="BW449" s="5"/>
      <c r="BX449" s="14"/>
      <c r="BY449" s="13"/>
      <c r="BZ449" s="5"/>
      <c r="CA449" s="14"/>
      <c r="CB449" s="13"/>
      <c r="CC449" s="5"/>
      <c r="CD449" s="14"/>
      <c r="CE449" s="13"/>
      <c r="CF449" s="5"/>
      <c r="CG449" s="14"/>
      <c r="CH449" s="13"/>
      <c r="CI449" s="5"/>
      <c r="CJ449" s="14"/>
      <c r="CK449" s="13"/>
      <c r="CL449" s="5"/>
      <c r="CM449" s="14"/>
      <c r="CN449" s="13"/>
      <c r="CO449" s="5"/>
      <c r="CP449" s="14"/>
      <c r="CQ449" s="13"/>
      <c r="CR449" s="5"/>
      <c r="CS449" s="14"/>
      <c r="CT449" s="13"/>
      <c r="CU449" s="5"/>
      <c r="CV449" s="14"/>
      <c r="CW449" s="13"/>
      <c r="CX449" s="5"/>
      <c r="CY449" s="14"/>
      <c r="CZ449" s="13"/>
      <c r="DA449" s="5"/>
      <c r="DB449" s="14"/>
      <c r="DC449" s="13"/>
      <c r="DD449" s="5"/>
      <c r="DE449" s="14"/>
      <c r="DF449" s="5"/>
      <c r="DG449" s="5"/>
      <c r="DH449" s="5"/>
    </row>
    <row r="450" spans="3:122" ht="11.25" customHeight="1" thickTop="1" x14ac:dyDescent="0.2">
      <c r="I450" s="50"/>
      <c r="J450" s="50">
        <f>L449-J449</f>
        <v>0</v>
      </c>
      <c r="K450" s="50"/>
      <c r="L450" s="50"/>
      <c r="M450" s="50"/>
      <c r="N450" s="50">
        <f>L449-N449</f>
        <v>0</v>
      </c>
      <c r="O450" s="50"/>
      <c r="P450" s="50">
        <f>L449-P449</f>
        <v>0</v>
      </c>
      <c r="Q450" s="50"/>
      <c r="R450" s="50">
        <f>L449-R449</f>
        <v>0</v>
      </c>
      <c r="S450" s="50"/>
      <c r="T450" s="50">
        <f>L449-T449</f>
        <v>0</v>
      </c>
      <c r="U450" s="50"/>
      <c r="V450" s="130">
        <f>L449-V449</f>
        <v>0</v>
      </c>
    </row>
    <row r="451" spans="3:122" ht="11.25" customHeight="1" x14ac:dyDescent="0.2">
      <c r="I451" s="139" t="str">
        <f>ß101</f>
        <v>Kropp</v>
      </c>
      <c r="J451" s="139"/>
      <c r="K451" s="139" t="str">
        <f>ß102</f>
        <v>Nörnberg</v>
      </c>
      <c r="L451" s="139"/>
      <c r="M451" s="139" t="str">
        <f>ß103</f>
        <v>Bübel</v>
      </c>
      <c r="N451" s="139"/>
      <c r="O451" s="139" t="str">
        <f>ß104</f>
        <v>Schwicht.</v>
      </c>
      <c r="P451" s="139"/>
      <c r="Q451" s="139" t="str">
        <f>ß105</f>
        <v>Rontzko.</v>
      </c>
      <c r="R451" s="139"/>
      <c r="S451" s="139" t="str">
        <f>ß106</f>
        <v>Hauschildt</v>
      </c>
      <c r="T451" s="139"/>
      <c r="U451" s="139" t="str">
        <f>ß107</f>
        <v>Zerres</v>
      </c>
      <c r="V451" s="139"/>
      <c r="AF451" s="11"/>
      <c r="AG451" s="11"/>
      <c r="AH451" s="11"/>
      <c r="AI451" s="11"/>
      <c r="AJ451" s="11"/>
      <c r="AL451" s="5" t="str">
        <f>IF($I464=$AL464,I451,"x")</f>
        <v>Kropp</v>
      </c>
      <c r="AM451" s="5" t="str">
        <f>IF($K464=$AL464,K451,"x")</f>
        <v>Nörnberg</v>
      </c>
      <c r="AN451" s="5" t="str">
        <f>IF($M464=$AL464,M451,"x")</f>
        <v>Bübel</v>
      </c>
      <c r="AO451" s="5" t="str">
        <f>IF($O464=$AL464,O451,"x")</f>
        <v>Schwicht.</v>
      </c>
      <c r="AP451" s="5" t="str">
        <f>IF($Q464=$AL464,Q451,"x")</f>
        <v>Rontzko.</v>
      </c>
      <c r="AQ451" s="5" t="str">
        <f>IF($S464=$AL464,S451,"x")</f>
        <v>Hauschildt</v>
      </c>
      <c r="AR451" s="5" t="str">
        <f>IF($U464=$AL464,U451,"x")</f>
        <v>Zerres</v>
      </c>
      <c r="AS451" s="13" t="str">
        <f>IF($I464=$AM464,I451,"x")</f>
        <v>Kropp</v>
      </c>
      <c r="AT451" s="5" t="str">
        <f>IF($K464=$AM464,K451,"x")</f>
        <v>Nörnberg</v>
      </c>
      <c r="AU451" s="5" t="str">
        <f>IF($M464=$AM464,M451,"x")</f>
        <v>Bübel</v>
      </c>
      <c r="AV451" s="5" t="str">
        <f>IF($O464=$AM464,O451,"x")</f>
        <v>Schwicht.</v>
      </c>
      <c r="AW451" s="5" t="str">
        <f>IF($Q464=$AM464,Q451,"x")</f>
        <v>Rontzko.</v>
      </c>
      <c r="AX451" s="5" t="str">
        <f>IF($S464=$AM464,S451,"x")</f>
        <v>Hauschildt</v>
      </c>
      <c r="AY451" s="5" t="str">
        <f>IF($U464=$AM464,U451,"x")</f>
        <v>Zerres</v>
      </c>
      <c r="BD451" s="140" t="str">
        <f>ß01</f>
        <v>Bayern</v>
      </c>
      <c r="BE451" s="140"/>
      <c r="BF451" s="140"/>
      <c r="BG451" s="141" t="str">
        <f>ß02</f>
        <v>Leipzig</v>
      </c>
      <c r="BH451" s="141"/>
      <c r="BI451" s="141"/>
      <c r="BJ451" s="141" t="str">
        <f>ß03</f>
        <v>Leverk.</v>
      </c>
      <c r="BK451" s="141"/>
      <c r="BL451" s="141"/>
      <c r="BM451" s="141" t="str">
        <f>ß04</f>
        <v>Hoffenheim</v>
      </c>
      <c r="BN451" s="141"/>
      <c r="BO451" s="141"/>
      <c r="BP451" s="141" t="str">
        <f>ß05</f>
        <v>Frankfurt</v>
      </c>
      <c r="BQ451" s="141"/>
      <c r="BR451" s="141"/>
      <c r="BS451" s="141" t="str">
        <f>ß06</f>
        <v>Werder</v>
      </c>
      <c r="BT451" s="141"/>
      <c r="BU451" s="141"/>
      <c r="BV451" s="141" t="str">
        <f>ß07</f>
        <v>Freiburg</v>
      </c>
      <c r="BW451" s="141"/>
      <c r="BX451" s="141"/>
      <c r="BY451" s="141" t="str">
        <f>ß08</f>
        <v>Augsburg</v>
      </c>
      <c r="BZ451" s="141"/>
      <c r="CA451" s="141"/>
      <c r="CB451" s="141" t="str">
        <f>ß09</f>
        <v>Mainz</v>
      </c>
      <c r="CC451" s="141"/>
      <c r="CD451" s="141"/>
      <c r="CE451" s="141" t="str">
        <f>ß10</f>
        <v>Köln</v>
      </c>
      <c r="CF451" s="141"/>
      <c r="CG451" s="141"/>
      <c r="CH451" s="141" t="str">
        <f>ß11</f>
        <v>M'gladb.</v>
      </c>
      <c r="CI451" s="141"/>
      <c r="CJ451" s="141"/>
      <c r="CK451" s="141" t="str">
        <f>ß12</f>
        <v>HSV</v>
      </c>
      <c r="CL451" s="141"/>
      <c r="CM451" s="141"/>
      <c r="CN451" s="141" t="str">
        <f>ß13</f>
        <v>Union</v>
      </c>
      <c r="CO451" s="141"/>
      <c r="CP451" s="141"/>
      <c r="CQ451" s="141" t="str">
        <f>ß14</f>
        <v>Stuttgart</v>
      </c>
      <c r="CR451" s="141"/>
      <c r="CS451" s="141"/>
      <c r="CT451" s="141" t="str">
        <f>ß15</f>
        <v>St. Pauli</v>
      </c>
      <c r="CU451" s="141"/>
      <c r="CV451" s="141"/>
      <c r="CW451" s="141" t="str">
        <f>ß16</f>
        <v>Dortmund</v>
      </c>
      <c r="CX451" s="141"/>
      <c r="CY451" s="141"/>
      <c r="CZ451" s="141" t="str">
        <f>ß17</f>
        <v>Heidenheim</v>
      </c>
      <c r="DA451" s="141"/>
      <c r="DB451" s="141"/>
      <c r="DC451" s="141" t="str">
        <f>ß18</f>
        <v>Wolfsburg</v>
      </c>
      <c r="DD451" s="141"/>
      <c r="DE451" s="141"/>
    </row>
    <row r="452" spans="3:122" ht="11.25" customHeight="1" x14ac:dyDescent="0.2">
      <c r="C452" s="16" t="str">
        <f>Mannschaften!F31</f>
        <v>31. Spieltag</v>
      </c>
      <c r="D452" s="11"/>
      <c r="E452" s="17" t="str">
        <f>Mannschaften!G31</f>
        <v>24.-26.4.26</v>
      </c>
      <c r="I452" s="19">
        <f>RANK(Rang!A31,Rang!A31:G31)</f>
        <v>1</v>
      </c>
      <c r="J452" s="20">
        <f>RANK(Rang!H31,Rang!H31:N31)</f>
        <v>1</v>
      </c>
      <c r="K452" s="19">
        <f>RANK(Rang!B31,Rang!A31:G31)</f>
        <v>1</v>
      </c>
      <c r="L452" s="20">
        <f>RANK(Rang!I31,Rang!H31:N31)</f>
        <v>1</v>
      </c>
      <c r="M452" s="19">
        <f>RANK(Rang!C31,Rang!A31:G31)</f>
        <v>1</v>
      </c>
      <c r="N452" s="20">
        <f>RANK(Rang!J31,Rang!H31:N31)</f>
        <v>1</v>
      </c>
      <c r="O452" s="19">
        <f>RANK(Rang!D31,Rang!A31:G31)</f>
        <v>1</v>
      </c>
      <c r="P452" s="20">
        <f>RANK(Rang!K31,Rang!H31:N31)</f>
        <v>1</v>
      </c>
      <c r="Q452" s="19">
        <f>RANK(Rang!E31,Rang!A31:G31)</f>
        <v>1</v>
      </c>
      <c r="R452" s="20">
        <f>RANK(Rang!L31,Rang!H31:N31)</f>
        <v>1</v>
      </c>
      <c r="S452" s="19">
        <f>RANK(Rang!F31,Rang!A31:G31)</f>
        <v>1</v>
      </c>
      <c r="T452" s="20">
        <f>RANK(Rang!M31,Rang!H31:N31)</f>
        <v>1</v>
      </c>
      <c r="U452" s="19">
        <f>RANK(Rang!G31,Rang!A31:G31)</f>
        <v>1</v>
      </c>
      <c r="V452" s="20">
        <f>RANK(Rang!N31,Rang!H31:N31)</f>
        <v>1</v>
      </c>
      <c r="AF452" s="22"/>
      <c r="AG452" s="22"/>
      <c r="AH452" s="22"/>
      <c r="AI452" s="22"/>
      <c r="AJ452" s="22"/>
      <c r="AK452" s="21"/>
      <c r="AL452" s="21"/>
      <c r="AM452" s="21"/>
      <c r="AN452" s="21"/>
      <c r="AO452" s="21"/>
      <c r="AP452" s="21"/>
      <c r="AQ452" s="21"/>
      <c r="AR452" s="21"/>
      <c r="AS452" s="24"/>
      <c r="AT452" s="21"/>
      <c r="AU452" s="21"/>
      <c r="AV452" s="21"/>
      <c r="AW452" s="21"/>
      <c r="AX452" s="21"/>
      <c r="AY452" s="21"/>
      <c r="AZ452" s="21"/>
      <c r="BA452" s="21"/>
      <c r="BB452" s="21"/>
      <c r="BD452" s="25" t="s">
        <v>4</v>
      </c>
      <c r="BE452" s="25" t="s">
        <v>5</v>
      </c>
      <c r="BF452" s="26" t="s">
        <v>6</v>
      </c>
      <c r="BG452" s="27" t="s">
        <v>4</v>
      </c>
      <c r="BH452" s="25" t="s">
        <v>5</v>
      </c>
      <c r="BI452" s="26" t="s">
        <v>6</v>
      </c>
      <c r="BJ452" s="27" t="s">
        <v>4</v>
      </c>
      <c r="BK452" s="25" t="s">
        <v>5</v>
      </c>
      <c r="BL452" s="26" t="s">
        <v>6</v>
      </c>
      <c r="BM452" s="27" t="s">
        <v>4</v>
      </c>
      <c r="BN452" s="25" t="s">
        <v>5</v>
      </c>
      <c r="BO452" s="26" t="s">
        <v>6</v>
      </c>
      <c r="BP452" s="27" t="s">
        <v>4</v>
      </c>
      <c r="BQ452" s="25" t="s">
        <v>5</v>
      </c>
      <c r="BR452" s="26" t="s">
        <v>6</v>
      </c>
      <c r="BS452" s="27" t="s">
        <v>4</v>
      </c>
      <c r="BT452" s="25" t="s">
        <v>5</v>
      </c>
      <c r="BU452" s="26" t="s">
        <v>6</v>
      </c>
      <c r="BV452" s="27" t="s">
        <v>4</v>
      </c>
      <c r="BW452" s="25" t="s">
        <v>5</v>
      </c>
      <c r="BX452" s="26" t="s">
        <v>6</v>
      </c>
      <c r="BY452" s="27" t="s">
        <v>4</v>
      </c>
      <c r="BZ452" s="25" t="s">
        <v>5</v>
      </c>
      <c r="CA452" s="26" t="s">
        <v>6</v>
      </c>
      <c r="CB452" s="27" t="s">
        <v>4</v>
      </c>
      <c r="CC452" s="25" t="s">
        <v>5</v>
      </c>
      <c r="CD452" s="26" t="s">
        <v>6</v>
      </c>
      <c r="CE452" s="27" t="s">
        <v>4</v>
      </c>
      <c r="CF452" s="25" t="s">
        <v>5</v>
      </c>
      <c r="CG452" s="26" t="s">
        <v>6</v>
      </c>
      <c r="CH452" s="27" t="s">
        <v>4</v>
      </c>
      <c r="CI452" s="25" t="s">
        <v>5</v>
      </c>
      <c r="CJ452" s="26" t="s">
        <v>6</v>
      </c>
      <c r="CK452" s="27" t="s">
        <v>4</v>
      </c>
      <c r="CL452" s="25" t="s">
        <v>5</v>
      </c>
      <c r="CM452" s="26" t="s">
        <v>6</v>
      </c>
      <c r="CN452" s="27" t="s">
        <v>4</v>
      </c>
      <c r="CO452" s="25" t="s">
        <v>5</v>
      </c>
      <c r="CP452" s="26" t="s">
        <v>6</v>
      </c>
      <c r="CQ452" s="27" t="s">
        <v>4</v>
      </c>
      <c r="CR452" s="25" t="s">
        <v>5</v>
      </c>
      <c r="CS452" s="26" t="s">
        <v>6</v>
      </c>
      <c r="CT452" s="27" t="s">
        <v>4</v>
      </c>
      <c r="CU452" s="25" t="s">
        <v>5</v>
      </c>
      <c r="CV452" s="26" t="s">
        <v>6</v>
      </c>
      <c r="CW452" s="27" t="s">
        <v>4</v>
      </c>
      <c r="CX452" s="25" t="s">
        <v>5</v>
      </c>
      <c r="CY452" s="26" t="s">
        <v>6</v>
      </c>
      <c r="CZ452" s="27" t="s">
        <v>4</v>
      </c>
      <c r="DA452" s="25" t="s">
        <v>5</v>
      </c>
      <c r="DB452" s="26" t="s">
        <v>6</v>
      </c>
      <c r="DC452" s="27" t="s">
        <v>4</v>
      </c>
      <c r="DD452" s="25" t="s">
        <v>5</v>
      </c>
      <c r="DE452" s="26" t="s">
        <v>6</v>
      </c>
      <c r="DF452" s="21"/>
      <c r="DG452" s="21"/>
      <c r="DH452" s="21"/>
      <c r="DN452" s="136" t="s">
        <v>7</v>
      </c>
      <c r="DO452" s="136"/>
      <c r="DP452" s="136" t="s">
        <v>8</v>
      </c>
      <c r="DQ452" s="136"/>
      <c r="DR452" s="28"/>
    </row>
    <row r="453" spans="3:122" ht="11.25" customHeight="1" x14ac:dyDescent="0.2">
      <c r="C453" s="2" t="str">
        <f t="shared" ref="C453:C461" si="451">E198</f>
        <v>Mainz</v>
      </c>
      <c r="D453" s="3" t="s">
        <v>11</v>
      </c>
      <c r="E453" s="2" t="str">
        <f t="shared" ref="E453:E461" si="452">C198</f>
        <v>Bayern</v>
      </c>
      <c r="F453" s="29"/>
      <c r="G453" s="3" t="s">
        <v>12</v>
      </c>
      <c r="H453" s="30"/>
      <c r="I453" s="31"/>
      <c r="J453" s="32" t="str">
        <f t="shared" ref="J453:J461" si="453">IF($F453="","",(IF(I453="","",IF(I453=$DG453,(VLOOKUP($DH453,$DJ$3:$DK$11,2,FALSE())),0))))</f>
        <v/>
      </c>
      <c r="K453" s="31"/>
      <c r="L453" s="32" t="str">
        <f t="shared" ref="L453:L461" si="454">IF($F453="","",(IF(K453="","",IF(K453=$DG453,(VLOOKUP($DH453,$DJ$3:$DK$11,2,FALSE())),0))))</f>
        <v/>
      </c>
      <c r="M453" s="31"/>
      <c r="N453" s="32" t="str">
        <f t="shared" ref="N453:N461" si="455">IF($F453="","",(IF(M453="","",IF(M453=$DG453,(VLOOKUP($DH453,$DJ$3:$DK$11,2,FALSE())),0))))</f>
        <v/>
      </c>
      <c r="O453" s="31"/>
      <c r="P453" s="32" t="str">
        <f t="shared" ref="P453:P461" si="456">IF($F453="","",(IF(O453="","",IF(O453=$DG453,(VLOOKUP($DH453,$DJ$3:$DK$11,2,FALSE())),0))))</f>
        <v/>
      </c>
      <c r="Q453" s="31"/>
      <c r="R453" s="32" t="str">
        <f t="shared" ref="R453:R461" si="457">IF($F453="","",(IF(Q453="","",IF(Q453=$DG453,(VLOOKUP($DH453,$DJ$3:$DK$11,2,FALSE())),0))))</f>
        <v/>
      </c>
      <c r="S453" s="31"/>
      <c r="T453" s="32" t="str">
        <f t="shared" ref="T453:T461" si="458">IF($F453="","",(IF(S453="","",IF(S453=$DG453,(VLOOKUP($DH453,$DJ$3:$DK$11,2,FALSE())),0))))</f>
        <v/>
      </c>
      <c r="U453" s="31"/>
      <c r="V453" s="32" t="str">
        <f t="shared" ref="V453:V461" si="459">IF($F453="","",(IF(U453="","",IF(U453=$DG453,(VLOOKUP($DH453,$DJ$3:$DK$11,2,FALSE())),0))))</f>
        <v/>
      </c>
      <c r="AF453" s="34"/>
      <c r="AG453" s="34"/>
      <c r="AH453" s="34"/>
      <c r="AI453" s="34"/>
      <c r="AJ453" s="34"/>
      <c r="AN453" s="5"/>
      <c r="AO453" s="5"/>
      <c r="AP453" s="5"/>
      <c r="AQ453" s="5"/>
      <c r="AR453" s="5"/>
      <c r="AS453" s="13"/>
      <c r="AT453" s="5"/>
      <c r="AU453" s="5"/>
      <c r="AV453" s="5"/>
      <c r="AW453" s="5"/>
      <c r="AX453" s="5"/>
      <c r="AY453" s="5"/>
      <c r="BC453" s="6">
        <v>452</v>
      </c>
      <c r="BD453" s="35" t="str">
        <f>IF(ISERROR(MATCH(ß01,$C453:$C461,0)),"",MATCH(ß01,$C453:$C461,0))</f>
        <v/>
      </c>
      <c r="BE453" s="35">
        <f>IF(ISERROR(MATCH(ß01,$E453:$E461,0)),"",MATCH(ß01,$E453:$E461,0))</f>
        <v>1</v>
      </c>
      <c r="BF453" s="15">
        <f>SUM(BD453:BE453)+BC453</f>
        <v>453</v>
      </c>
      <c r="BG453" s="36">
        <f>IF(ISERROR(MATCH(ß02,$C453:$C461,0)),"",MATCH(ß02,$C453:$C461,0))</f>
        <v>7</v>
      </c>
      <c r="BH453" s="35" t="str">
        <f>IF(ISERROR(MATCH(ß02,$E453:$E461,0)),"",MATCH(ß02,$E453:$E461,0))</f>
        <v/>
      </c>
      <c r="BI453" s="15">
        <f>SUM(BG453:BH453)+BC453</f>
        <v>459</v>
      </c>
      <c r="BJ453" s="36" t="str">
        <f>IF(ISERROR(MATCH(ß03,$C453:$C461,0)),"",MATCH(ß03,$C453:$C461,0))</f>
        <v/>
      </c>
      <c r="BK453" s="35">
        <f>IF(ISERROR(MATCH(ß03,$E453:$E461,0)),"",MATCH(ß03,$E453:$E461,0))</f>
        <v>2</v>
      </c>
      <c r="BL453" s="15">
        <f>SUM(BJ453:BK453)+BC453</f>
        <v>454</v>
      </c>
      <c r="BM453" s="36" t="str">
        <f>IF(ISERROR(MATCH(ß04,$C453:$C461,0)),"",MATCH(ß04,$C453:$C461,0))</f>
        <v/>
      </c>
      <c r="BN453" s="35">
        <f>IF(ISERROR(MATCH(ß04,$E453:$E461,0)),"",MATCH(ß04,$E453:$E461,0))</f>
        <v>9</v>
      </c>
      <c r="BO453" s="15">
        <f>SUM(BM453:BN453)+BC453</f>
        <v>461</v>
      </c>
      <c r="BP453" s="36" t="str">
        <f>IF(ISERROR(MATCH(ß05,$C453:$C461,0)),"",MATCH(ß05,$C453:$C461,0))</f>
        <v/>
      </c>
      <c r="BQ453" s="35">
        <f>IF(ISERROR(MATCH(ß05,$E453:$E461,0)),"",MATCH(ß05,$E453:$E461,0))</f>
        <v>3</v>
      </c>
      <c r="BR453" s="15">
        <f>SUM(BP453:BQ453)+BC453</f>
        <v>455</v>
      </c>
      <c r="BS453" s="36" t="str">
        <f>IF(ISERROR(MATCH(ß06,$C453:$C461,0)),"",MATCH(ß06,$C453:$C461,0))</f>
        <v/>
      </c>
      <c r="BT453" s="35">
        <f>IF(ISERROR(MATCH(ß06,$E453:$E461,0)),"",MATCH(ß06,$E453:$E461,0))</f>
        <v>5</v>
      </c>
      <c r="BU453" s="15">
        <f>SUM(BS453:BT453)+BC453</f>
        <v>457</v>
      </c>
      <c r="BV453" s="36" t="str">
        <f>IF(ISERROR(MATCH(ß07,$C453:$C461,0)),"",MATCH(ß07,$C453:$C461,0))</f>
        <v/>
      </c>
      <c r="BW453" s="35">
        <f>IF(ISERROR(MATCH(ß07,$E453:$E461,0)),"",MATCH(ß07,$E453:$E461,0))</f>
        <v>4</v>
      </c>
      <c r="BX453" s="15">
        <f>SUM(BV453:BW453)+BC453</f>
        <v>456</v>
      </c>
      <c r="BY453" s="36">
        <f>IF(ISERROR(MATCH(ß08,$C453:$C461,0)),"",MATCH(ß08,$C453:$C461,0))</f>
        <v>3</v>
      </c>
      <c r="BZ453" s="35" t="str">
        <f>IF(ISERROR(MATCH(ß08,$E453:$E461,0)),"",MATCH(ß08,$E453:$E461,0))</f>
        <v/>
      </c>
      <c r="CA453" s="15">
        <f>SUM(BY453:BZ453)+BC453</f>
        <v>455</v>
      </c>
      <c r="CB453" s="36">
        <f>IF(ISERROR(MATCH(ß09,$C453:$C461,0)),"",MATCH(ß09,$C453:$C461,0))</f>
        <v>1</v>
      </c>
      <c r="CC453" s="35" t="str">
        <f>IF(ISERROR(MATCH(ß09,$E453:$E461,0)),"",MATCH(ß09,$E453:$E461,0))</f>
        <v/>
      </c>
      <c r="CD453" s="15">
        <f>SUM(CB453:CC453)+BC453</f>
        <v>453</v>
      </c>
      <c r="CE453" s="36">
        <f>IF(ISERROR(MATCH(ß10,$C453:$C461,0)),"",MATCH(ß10,$C453:$C461,0))</f>
        <v>2</v>
      </c>
      <c r="CF453" s="35" t="str">
        <f>IF(ISERROR(MATCH(ß10,$E453:$E461,0)),"",MATCH(ß10,$E453:$E461,0))</f>
        <v/>
      </c>
      <c r="CG453" s="15">
        <f>SUM(CE453:CF453)+BC453</f>
        <v>454</v>
      </c>
      <c r="CH453" s="36" t="str">
        <f>IF(ISERROR(MATCH(ß11,$C453:$C461,0)),"",MATCH(ß11,$C453:$C461,0))</f>
        <v/>
      </c>
      <c r="CI453" s="35">
        <f>IF(ISERROR(MATCH(ß11,$E453:$E461,0)),"",MATCH(ß11,$E453:$E461,0))</f>
        <v>6</v>
      </c>
      <c r="CJ453" s="15">
        <f>SUM(CH453:CI453)+BC453</f>
        <v>458</v>
      </c>
      <c r="CK453" s="36">
        <f>IF(ISERROR(MATCH(ß12,$C453:$C461,0)),"",MATCH(ß12,$C453:$C461,0))</f>
        <v>9</v>
      </c>
      <c r="CL453" s="35" t="str">
        <f>IF(ISERROR(MATCH(ß12,$E453:$E461,0)),"",MATCH(ß12,$E453:$E461,0))</f>
        <v/>
      </c>
      <c r="CM453" s="15">
        <f>SUM(CK453:CL453)+BC453</f>
        <v>461</v>
      </c>
      <c r="CN453" s="36" t="str">
        <f>IF(ISERROR(MATCH(ß13,$C453:$C461,0)),"",MATCH(ß13,$C453:$C461,0))</f>
        <v/>
      </c>
      <c r="CO453" s="35">
        <f>IF(ISERROR(MATCH(ß13,$E453:$E461,0)),"",MATCH(ß13,$E453:$E461,0))</f>
        <v>7</v>
      </c>
      <c r="CP453" s="15">
        <f>SUM(CN453:CO453)+BC453</f>
        <v>459</v>
      </c>
      <c r="CQ453" s="36">
        <f>IF(ISERROR(MATCH(ß14,$C453:$C461,0)),"",MATCH(ß14,$C453:$C461,0))</f>
        <v>5</v>
      </c>
      <c r="CR453" s="35" t="str">
        <f>IF(ISERROR(MATCH(ß14,$E453:$E461,0)),"",MATCH(ß14,$E453:$E461,0))</f>
        <v/>
      </c>
      <c r="CS453" s="15">
        <f>SUM(CQ453:CR453)+BC453</f>
        <v>457</v>
      </c>
      <c r="CT453" s="36" t="str">
        <f>IF(ISERROR(MATCH(ß15,$C453:$C461,0)),"",MATCH(ß15,$C453:$C461,0))</f>
        <v/>
      </c>
      <c r="CU453" s="35">
        <f>IF(ISERROR(MATCH(ß15,$E453:$E461,0)),"",MATCH(ß15,$E453:$E461,0))</f>
        <v>8</v>
      </c>
      <c r="CV453" s="15">
        <f>SUM(CT453:CU453)+BC453</f>
        <v>460</v>
      </c>
      <c r="CW453" s="36">
        <f>IF(ISERROR(MATCH(ß16,$C453:$C461,0)),"",MATCH(ß16,$C453:$C461,0))</f>
        <v>4</v>
      </c>
      <c r="CX453" s="35" t="str">
        <f>IF(ISERROR(MATCH(ß16,$E453:$E461,0)),"",MATCH(ß16,$E453:$E461,0))</f>
        <v/>
      </c>
      <c r="CY453" s="15">
        <f>SUM(CW453:CX453)+BC453</f>
        <v>456</v>
      </c>
      <c r="CZ453" s="36">
        <f>IF(ISERROR(MATCH(ß17,$C453:$C461,0)),"",MATCH(ß17,$C453:$C461,0))</f>
        <v>8</v>
      </c>
      <c r="DA453" s="35" t="str">
        <f>IF(ISERROR(MATCH(ß17,$E453:$E461,0)),"",MATCH(ß17,$E453:$E461,0))</f>
        <v/>
      </c>
      <c r="DB453" s="15">
        <f>SUM(CZ453:DA453)+BC453</f>
        <v>460</v>
      </c>
      <c r="DC453" s="36">
        <f>IF(ISERROR(MATCH(ß18,$C453:$C461,0)),"",MATCH(ß18,$C453:$C461,0))</f>
        <v>6</v>
      </c>
      <c r="DD453" s="35" t="str">
        <f>IF(ISERROR(MATCH(ß18,$E453:$E461,0)),"",MATCH(ß18,$E453:$E461,0))</f>
        <v/>
      </c>
      <c r="DE453" s="15">
        <f>SUM(DC453:DD453)+BC453</f>
        <v>458</v>
      </c>
      <c r="DG453" s="8" t="str">
        <f t="shared" ref="DG453:DG461" si="460">IF(F453="","",(IF(F453=H453,0,IF(F453&gt;H453,1,IF(F453&lt;H453,2)))))</f>
        <v/>
      </c>
      <c r="DH453" s="3">
        <f>COUNTIF(I453,DG453)+COUNTIF(K453,DG453)+COUNTIF(M453,DG453)+COUNTIF(O453,DG453)+COUNTIF(Q453,DG453)+COUNTIF(S453,DG453)+COUNTIF(U453,DG453)</f>
        <v>7</v>
      </c>
      <c r="DN453" s="12">
        <f t="shared" ref="DN453:DN461" si="461">F453</f>
        <v>0</v>
      </c>
      <c r="DO453" s="5">
        <f t="shared" ref="DO453:DO461" si="462">H453</f>
        <v>0</v>
      </c>
      <c r="DP453" s="5" t="str">
        <f t="shared" ref="DP453:DP461" si="463">IF($F453="","",IF(DN453&gt;DO453,3,IF(DN453&lt;DO453,0,1)))</f>
        <v/>
      </c>
      <c r="DQ453" s="5" t="str">
        <f t="shared" ref="DQ453:DQ461" si="464">IF($H453="","",IF(DO453&gt;DN453,3,IF(DO453&lt;DN453,0,1)))</f>
        <v/>
      </c>
      <c r="DR453" s="5">
        <f t="shared" ref="DR453:DR461" si="465">IF(ISBLANK(F453),0,1)</f>
        <v>0</v>
      </c>
    </row>
    <row r="454" spans="3:122" ht="11.25" customHeight="1" x14ac:dyDescent="0.2">
      <c r="C454" s="2" t="str">
        <f t="shared" si="451"/>
        <v>Köln</v>
      </c>
      <c r="D454" s="3" t="s">
        <v>11</v>
      </c>
      <c r="E454" s="2" t="str">
        <f t="shared" si="452"/>
        <v>Leverk.</v>
      </c>
      <c r="F454" s="29"/>
      <c r="G454" s="3" t="s">
        <v>12</v>
      </c>
      <c r="H454" s="30"/>
      <c r="I454" s="37"/>
      <c r="J454" s="38" t="str">
        <f t="shared" si="453"/>
        <v/>
      </c>
      <c r="K454" s="37"/>
      <c r="L454" s="38" t="str">
        <f t="shared" si="454"/>
        <v/>
      </c>
      <c r="M454" s="37"/>
      <c r="N454" s="38" t="str">
        <f t="shared" si="455"/>
        <v/>
      </c>
      <c r="O454" s="37"/>
      <c r="P454" s="38" t="str">
        <f t="shared" si="456"/>
        <v/>
      </c>
      <c r="Q454" s="37"/>
      <c r="R454" s="38" t="str">
        <f t="shared" si="457"/>
        <v/>
      </c>
      <c r="S454" s="37"/>
      <c r="T454" s="38" t="str">
        <f t="shared" si="458"/>
        <v/>
      </c>
      <c r="U454" s="37"/>
      <c r="V454" s="38" t="str">
        <f t="shared" si="459"/>
        <v/>
      </c>
      <c r="AF454" s="34"/>
      <c r="AG454" s="34"/>
      <c r="AH454" s="34"/>
      <c r="AI454" s="34"/>
      <c r="AJ454" s="34"/>
      <c r="DG454" s="8" t="str">
        <f t="shared" si="460"/>
        <v/>
      </c>
      <c r="DH454" s="3">
        <f t="shared" ref="DH454:DH461" si="466">COUNTIF(I454,DG454)+COUNTIF(K454,DG454)+COUNTIF(M454,DG454)+COUNTIF(O454,DG454)+COUNTIF(Q454,DG454)+COUNTIF(S454,DG454)+COUNTIF(U454,DG454)</f>
        <v>7</v>
      </c>
      <c r="DN454" s="12">
        <f t="shared" si="461"/>
        <v>0</v>
      </c>
      <c r="DO454" s="5">
        <f t="shared" si="462"/>
        <v>0</v>
      </c>
      <c r="DP454" s="5" t="str">
        <f t="shared" si="463"/>
        <v/>
      </c>
      <c r="DQ454" s="5" t="str">
        <f t="shared" si="464"/>
        <v/>
      </c>
      <c r="DR454" s="5">
        <f t="shared" si="465"/>
        <v>0</v>
      </c>
    </row>
    <row r="455" spans="3:122" ht="11.25" customHeight="1" x14ac:dyDescent="0.2">
      <c r="C455" s="2" t="str">
        <f t="shared" si="451"/>
        <v>Augsburg</v>
      </c>
      <c r="D455" s="3" t="s">
        <v>11</v>
      </c>
      <c r="E455" s="2" t="str">
        <f t="shared" si="452"/>
        <v>Frankfurt</v>
      </c>
      <c r="F455" s="29"/>
      <c r="G455" s="3" t="s">
        <v>12</v>
      </c>
      <c r="H455" s="30"/>
      <c r="I455" s="37"/>
      <c r="J455" s="38" t="str">
        <f t="shared" si="453"/>
        <v/>
      </c>
      <c r="K455" s="37"/>
      <c r="L455" s="38" t="str">
        <f t="shared" si="454"/>
        <v/>
      </c>
      <c r="M455" s="37"/>
      <c r="N455" s="38" t="str">
        <f t="shared" si="455"/>
        <v/>
      </c>
      <c r="O455" s="37"/>
      <c r="P455" s="38" t="str">
        <f t="shared" si="456"/>
        <v/>
      </c>
      <c r="Q455" s="37"/>
      <c r="R455" s="38" t="str">
        <f t="shared" si="457"/>
        <v/>
      </c>
      <c r="S455" s="37"/>
      <c r="T455" s="38" t="str">
        <f t="shared" si="458"/>
        <v/>
      </c>
      <c r="U455" s="37"/>
      <c r="V455" s="38" t="str">
        <f t="shared" si="459"/>
        <v/>
      </c>
      <c r="AF455" s="34"/>
      <c r="AG455" s="34"/>
      <c r="AH455" s="34"/>
      <c r="AI455" s="34"/>
      <c r="AJ455" s="34"/>
      <c r="DG455" s="8" t="str">
        <f t="shared" si="460"/>
        <v/>
      </c>
      <c r="DH455" s="3">
        <f t="shared" si="466"/>
        <v>7</v>
      </c>
      <c r="DN455" s="12">
        <f t="shared" si="461"/>
        <v>0</v>
      </c>
      <c r="DO455" s="5">
        <f t="shared" si="462"/>
        <v>0</v>
      </c>
      <c r="DP455" s="5" t="str">
        <f t="shared" si="463"/>
        <v/>
      </c>
      <c r="DQ455" s="5" t="str">
        <f t="shared" si="464"/>
        <v/>
      </c>
      <c r="DR455" s="5">
        <f t="shared" si="465"/>
        <v>0</v>
      </c>
    </row>
    <row r="456" spans="3:122" ht="11.25" customHeight="1" x14ac:dyDescent="0.2">
      <c r="C456" s="2" t="str">
        <f t="shared" si="451"/>
        <v>Dortmund</v>
      </c>
      <c r="D456" s="3" t="s">
        <v>11</v>
      </c>
      <c r="E456" s="2" t="str">
        <f t="shared" si="452"/>
        <v>Freiburg</v>
      </c>
      <c r="F456" s="29"/>
      <c r="G456" s="3" t="s">
        <v>12</v>
      </c>
      <c r="H456" s="30"/>
      <c r="I456" s="37"/>
      <c r="J456" s="38" t="str">
        <f t="shared" si="453"/>
        <v/>
      </c>
      <c r="K456" s="37"/>
      <c r="L456" s="38" t="str">
        <f t="shared" si="454"/>
        <v/>
      </c>
      <c r="M456" s="37"/>
      <c r="N456" s="38" t="str">
        <f t="shared" si="455"/>
        <v/>
      </c>
      <c r="O456" s="37"/>
      <c r="P456" s="38" t="str">
        <f t="shared" si="456"/>
        <v/>
      </c>
      <c r="Q456" s="37"/>
      <c r="R456" s="38" t="str">
        <f t="shared" si="457"/>
        <v/>
      </c>
      <c r="S456" s="37"/>
      <c r="T456" s="38" t="str">
        <f t="shared" si="458"/>
        <v/>
      </c>
      <c r="U456" s="37"/>
      <c r="V456" s="38" t="str">
        <f t="shared" si="459"/>
        <v/>
      </c>
      <c r="AF456" s="34"/>
      <c r="AG456" s="34"/>
      <c r="AH456" s="34"/>
      <c r="AI456" s="34"/>
      <c r="AJ456" s="34"/>
      <c r="DG456" s="8" t="str">
        <f t="shared" si="460"/>
        <v/>
      </c>
      <c r="DH456" s="3">
        <f t="shared" si="466"/>
        <v>7</v>
      </c>
      <c r="DN456" s="12">
        <f t="shared" si="461"/>
        <v>0</v>
      </c>
      <c r="DO456" s="5">
        <f t="shared" si="462"/>
        <v>0</v>
      </c>
      <c r="DP456" s="5" t="str">
        <f t="shared" si="463"/>
        <v/>
      </c>
      <c r="DQ456" s="5" t="str">
        <f t="shared" si="464"/>
        <v/>
      </c>
      <c r="DR456" s="5">
        <f t="shared" si="465"/>
        <v>0</v>
      </c>
    </row>
    <row r="457" spans="3:122" ht="11.25" customHeight="1" x14ac:dyDescent="0.2">
      <c r="C457" s="2" t="str">
        <f t="shared" si="451"/>
        <v>Stuttgart</v>
      </c>
      <c r="D457" s="3" t="s">
        <v>11</v>
      </c>
      <c r="E457" s="2" t="str">
        <f t="shared" si="452"/>
        <v>Werder</v>
      </c>
      <c r="F457" s="29"/>
      <c r="G457" s="3" t="s">
        <v>12</v>
      </c>
      <c r="H457" s="30"/>
      <c r="I457" s="37"/>
      <c r="J457" s="38" t="str">
        <f t="shared" si="453"/>
        <v/>
      </c>
      <c r="K457" s="37"/>
      <c r="L457" s="38" t="str">
        <f t="shared" si="454"/>
        <v/>
      </c>
      <c r="M457" s="37"/>
      <c r="N457" s="38" t="str">
        <f t="shared" si="455"/>
        <v/>
      </c>
      <c r="O457" s="37"/>
      <c r="P457" s="38" t="str">
        <f t="shared" si="456"/>
        <v/>
      </c>
      <c r="Q457" s="37"/>
      <c r="R457" s="38" t="str">
        <f t="shared" si="457"/>
        <v/>
      </c>
      <c r="S457" s="37"/>
      <c r="T457" s="38" t="str">
        <f t="shared" si="458"/>
        <v/>
      </c>
      <c r="U457" s="37"/>
      <c r="V457" s="38" t="str">
        <f t="shared" si="459"/>
        <v/>
      </c>
      <c r="AF457" s="34"/>
      <c r="AG457" s="34"/>
      <c r="AH457" s="34"/>
      <c r="AI457" s="34"/>
      <c r="AJ457" s="34"/>
      <c r="DG457" s="8" t="str">
        <f t="shared" si="460"/>
        <v/>
      </c>
      <c r="DH457" s="3">
        <f t="shared" si="466"/>
        <v>7</v>
      </c>
      <c r="DN457" s="12">
        <f t="shared" si="461"/>
        <v>0</v>
      </c>
      <c r="DO457" s="5">
        <f t="shared" si="462"/>
        <v>0</v>
      </c>
      <c r="DP457" s="5" t="str">
        <f t="shared" si="463"/>
        <v/>
      </c>
      <c r="DQ457" s="5" t="str">
        <f t="shared" si="464"/>
        <v/>
      </c>
      <c r="DR457" s="5">
        <f t="shared" si="465"/>
        <v>0</v>
      </c>
    </row>
    <row r="458" spans="3:122" ht="11.25" customHeight="1" x14ac:dyDescent="0.2">
      <c r="C458" s="2" t="str">
        <f t="shared" si="451"/>
        <v>Wolfsburg</v>
      </c>
      <c r="D458" s="3" t="s">
        <v>11</v>
      </c>
      <c r="E458" s="2" t="str">
        <f t="shared" si="452"/>
        <v>M'gladb.</v>
      </c>
      <c r="F458" s="29"/>
      <c r="G458" s="3" t="s">
        <v>12</v>
      </c>
      <c r="H458" s="30"/>
      <c r="I458" s="37"/>
      <c r="J458" s="38" t="str">
        <f t="shared" si="453"/>
        <v/>
      </c>
      <c r="K458" s="37"/>
      <c r="L458" s="38" t="str">
        <f t="shared" si="454"/>
        <v/>
      </c>
      <c r="M458" s="37"/>
      <c r="N458" s="38" t="str">
        <f t="shared" si="455"/>
        <v/>
      </c>
      <c r="O458" s="37"/>
      <c r="P458" s="38" t="str">
        <f t="shared" si="456"/>
        <v/>
      </c>
      <c r="Q458" s="37"/>
      <c r="R458" s="38" t="str">
        <f t="shared" si="457"/>
        <v/>
      </c>
      <c r="S458" s="37"/>
      <c r="T458" s="38" t="str">
        <f t="shared" si="458"/>
        <v/>
      </c>
      <c r="U458" s="37"/>
      <c r="V458" s="38" t="str">
        <f t="shared" si="459"/>
        <v/>
      </c>
      <c r="AF458" s="34"/>
      <c r="AG458" s="34"/>
      <c r="AH458" s="34"/>
      <c r="AI458" s="34"/>
      <c r="AJ458" s="34"/>
      <c r="DG458" s="8" t="str">
        <f t="shared" si="460"/>
        <v/>
      </c>
      <c r="DH458" s="3">
        <f t="shared" si="466"/>
        <v>7</v>
      </c>
      <c r="DN458" s="12">
        <f t="shared" si="461"/>
        <v>0</v>
      </c>
      <c r="DO458" s="5">
        <f t="shared" si="462"/>
        <v>0</v>
      </c>
      <c r="DP458" s="5" t="str">
        <f t="shared" si="463"/>
        <v/>
      </c>
      <c r="DQ458" s="5" t="str">
        <f t="shared" si="464"/>
        <v/>
      </c>
      <c r="DR458" s="5">
        <f t="shared" si="465"/>
        <v>0</v>
      </c>
    </row>
    <row r="459" spans="3:122" ht="11.25" customHeight="1" x14ac:dyDescent="0.2">
      <c r="C459" s="2" t="str">
        <f t="shared" si="451"/>
        <v>Leipzig</v>
      </c>
      <c r="D459" s="3" t="s">
        <v>11</v>
      </c>
      <c r="E459" s="2" t="str">
        <f t="shared" si="452"/>
        <v>Union</v>
      </c>
      <c r="F459" s="29"/>
      <c r="G459" s="3" t="s">
        <v>12</v>
      </c>
      <c r="H459" s="30"/>
      <c r="I459" s="37"/>
      <c r="J459" s="38" t="str">
        <f t="shared" si="453"/>
        <v/>
      </c>
      <c r="K459" s="37"/>
      <c r="L459" s="38" t="str">
        <f t="shared" si="454"/>
        <v/>
      </c>
      <c r="M459" s="37"/>
      <c r="N459" s="38" t="str">
        <f t="shared" si="455"/>
        <v/>
      </c>
      <c r="O459" s="37"/>
      <c r="P459" s="38" t="str">
        <f t="shared" si="456"/>
        <v/>
      </c>
      <c r="Q459" s="37"/>
      <c r="R459" s="38" t="str">
        <f t="shared" si="457"/>
        <v/>
      </c>
      <c r="S459" s="37"/>
      <c r="T459" s="38" t="str">
        <f t="shared" si="458"/>
        <v/>
      </c>
      <c r="U459" s="37"/>
      <c r="V459" s="38" t="str">
        <f t="shared" si="459"/>
        <v/>
      </c>
      <c r="AF459" s="34"/>
      <c r="AG459" s="34"/>
      <c r="AH459" s="34"/>
      <c r="AI459" s="34"/>
      <c r="AJ459" s="34"/>
      <c r="DG459" s="8" t="str">
        <f t="shared" si="460"/>
        <v/>
      </c>
      <c r="DH459" s="3">
        <f t="shared" si="466"/>
        <v>7</v>
      </c>
      <c r="DN459" s="12">
        <f t="shared" si="461"/>
        <v>0</v>
      </c>
      <c r="DO459" s="5">
        <f t="shared" si="462"/>
        <v>0</v>
      </c>
      <c r="DP459" s="5" t="str">
        <f t="shared" si="463"/>
        <v/>
      </c>
      <c r="DQ459" s="5" t="str">
        <f t="shared" si="464"/>
        <v/>
      </c>
      <c r="DR459" s="5">
        <f t="shared" si="465"/>
        <v>0</v>
      </c>
    </row>
    <row r="460" spans="3:122" ht="11.25" customHeight="1" x14ac:dyDescent="0.2">
      <c r="C460" s="2" t="str">
        <f t="shared" si="451"/>
        <v>Heidenheim</v>
      </c>
      <c r="D460" s="3" t="s">
        <v>11</v>
      </c>
      <c r="E460" s="2" t="str">
        <f t="shared" si="452"/>
        <v>St. Pauli</v>
      </c>
      <c r="F460" s="29"/>
      <c r="G460" s="3" t="s">
        <v>12</v>
      </c>
      <c r="H460" s="30"/>
      <c r="I460" s="37"/>
      <c r="J460" s="38" t="str">
        <f t="shared" si="453"/>
        <v/>
      </c>
      <c r="K460" s="37"/>
      <c r="L460" s="38" t="str">
        <f t="shared" si="454"/>
        <v/>
      </c>
      <c r="M460" s="37"/>
      <c r="N460" s="38" t="str">
        <f t="shared" si="455"/>
        <v/>
      </c>
      <c r="O460" s="37"/>
      <c r="P460" s="38" t="str">
        <f t="shared" si="456"/>
        <v/>
      </c>
      <c r="Q460" s="37"/>
      <c r="R460" s="38" t="str">
        <f t="shared" si="457"/>
        <v/>
      </c>
      <c r="S460" s="37"/>
      <c r="T460" s="38" t="str">
        <f t="shared" si="458"/>
        <v/>
      </c>
      <c r="U460" s="37"/>
      <c r="V460" s="38" t="str">
        <f t="shared" si="459"/>
        <v/>
      </c>
      <c r="AF460" s="34"/>
      <c r="AG460" s="34"/>
      <c r="AH460" s="34"/>
      <c r="AI460" s="34"/>
      <c r="AJ460" s="34"/>
      <c r="DG460" s="8" t="str">
        <f t="shared" si="460"/>
        <v/>
      </c>
      <c r="DH460" s="3">
        <f t="shared" si="466"/>
        <v>7</v>
      </c>
      <c r="DN460" s="12">
        <f t="shared" si="461"/>
        <v>0</v>
      </c>
      <c r="DO460" s="5">
        <f t="shared" si="462"/>
        <v>0</v>
      </c>
      <c r="DP460" s="5" t="str">
        <f t="shared" si="463"/>
        <v/>
      </c>
      <c r="DQ460" s="5" t="str">
        <f t="shared" si="464"/>
        <v/>
      </c>
      <c r="DR460" s="5">
        <f t="shared" si="465"/>
        <v>0</v>
      </c>
    </row>
    <row r="461" spans="3:122" ht="11.25" customHeight="1" thickBot="1" x14ac:dyDescent="0.25">
      <c r="C461" s="2" t="str">
        <f t="shared" si="451"/>
        <v>HSV</v>
      </c>
      <c r="D461" s="3" t="s">
        <v>11</v>
      </c>
      <c r="E461" s="2" t="str">
        <f t="shared" si="452"/>
        <v>Hoffenheim</v>
      </c>
      <c r="F461" s="29"/>
      <c r="G461" s="3" t="s">
        <v>12</v>
      </c>
      <c r="H461" s="30"/>
      <c r="I461" s="37"/>
      <c r="J461" s="38" t="str">
        <f t="shared" si="453"/>
        <v/>
      </c>
      <c r="K461" s="37"/>
      <c r="L461" s="38" t="str">
        <f t="shared" si="454"/>
        <v/>
      </c>
      <c r="M461" s="37"/>
      <c r="N461" s="38" t="str">
        <f t="shared" si="455"/>
        <v/>
      </c>
      <c r="O461" s="37"/>
      <c r="P461" s="38" t="str">
        <f t="shared" si="456"/>
        <v/>
      </c>
      <c r="Q461" s="37"/>
      <c r="R461" s="38" t="str">
        <f t="shared" si="457"/>
        <v/>
      </c>
      <c r="S461" s="37"/>
      <c r="T461" s="38" t="str">
        <f t="shared" si="458"/>
        <v/>
      </c>
      <c r="U461" s="37"/>
      <c r="V461" s="38" t="str">
        <f t="shared" si="459"/>
        <v/>
      </c>
      <c r="AF461" s="34"/>
      <c r="AG461" s="34"/>
      <c r="AH461" s="34"/>
      <c r="AI461" s="34"/>
      <c r="AJ461" s="34"/>
      <c r="DG461" s="8" t="str">
        <f t="shared" si="460"/>
        <v/>
      </c>
      <c r="DH461" s="3">
        <f t="shared" si="466"/>
        <v>7</v>
      </c>
      <c r="DN461" s="12">
        <f t="shared" si="461"/>
        <v>0</v>
      </c>
      <c r="DO461" s="5">
        <f t="shared" si="462"/>
        <v>0</v>
      </c>
      <c r="DP461" s="5" t="str">
        <f t="shared" si="463"/>
        <v/>
      </c>
      <c r="DQ461" s="5" t="str">
        <f t="shared" si="464"/>
        <v/>
      </c>
      <c r="DR461" s="5">
        <f t="shared" si="465"/>
        <v>0</v>
      </c>
    </row>
    <row r="462" spans="3:122" ht="11.25" customHeight="1" thickTop="1" x14ac:dyDescent="0.2">
      <c r="C462" s="41">
        <f>(I462+K462+M462+O462+Q462+S462+U462)</f>
        <v>0</v>
      </c>
      <c r="E462" s="42">
        <f>C462/8</f>
        <v>0</v>
      </c>
      <c r="F462" s="41">
        <f>SUM(F453:F461)</f>
        <v>0</v>
      </c>
      <c r="G462" s="2"/>
      <c r="H462" s="43">
        <f>SUM(H453:H461)</f>
        <v>0</v>
      </c>
      <c r="I462" s="44">
        <f>COUNTIF(J453:J461,"&gt;0")</f>
        <v>0</v>
      </c>
      <c r="J462" s="45">
        <f>I462+J447</f>
        <v>0</v>
      </c>
      <c r="K462" s="44">
        <f>COUNTIF(L453:L461,"&gt;0")</f>
        <v>0</v>
      </c>
      <c r="L462" s="45">
        <f>K462+L447</f>
        <v>0</v>
      </c>
      <c r="M462" s="44">
        <f>COUNTIF(N453:N461,"&gt;0")</f>
        <v>0</v>
      </c>
      <c r="N462" s="45">
        <f>M462+N447</f>
        <v>0</v>
      </c>
      <c r="O462" s="44">
        <f>COUNTIF(P453:P461,"&gt;0")</f>
        <v>0</v>
      </c>
      <c r="P462" s="45">
        <f>O462+P447</f>
        <v>0</v>
      </c>
      <c r="Q462" s="44">
        <f>COUNTIF(R453:R461,"&gt;0")</f>
        <v>0</v>
      </c>
      <c r="R462" s="45">
        <f>Q462+R447</f>
        <v>0</v>
      </c>
      <c r="S462" s="44">
        <f>COUNTIF(T453:T461,"&gt;0")</f>
        <v>0</v>
      </c>
      <c r="T462" s="45">
        <f>S462+T447</f>
        <v>0</v>
      </c>
      <c r="U462" s="44">
        <f>COUNTIF(V453:V461,"&gt;0")</f>
        <v>0</v>
      </c>
      <c r="V462" s="45">
        <f>U462+V447</f>
        <v>0</v>
      </c>
      <c r="AF462" s="34"/>
      <c r="AG462" s="34"/>
      <c r="AH462" s="34"/>
      <c r="AI462" s="34"/>
      <c r="AJ462" s="34"/>
      <c r="DN462" s="12"/>
    </row>
    <row r="463" spans="3:122" ht="11.25" customHeight="1" x14ac:dyDescent="0.2">
      <c r="C463" s="41">
        <f>(I463+K463+M463+O463+Q463+S463+U463)</f>
        <v>0</v>
      </c>
      <c r="E463" s="42">
        <f>C463/8</f>
        <v>0</v>
      </c>
      <c r="F463" s="137">
        <f>F462+H462</f>
        <v>0</v>
      </c>
      <c r="G463" s="137"/>
      <c r="H463" s="137"/>
      <c r="I463" s="46">
        <f>SUM(J453:J461)</f>
        <v>0</v>
      </c>
      <c r="J463" s="47">
        <f>I463+J448</f>
        <v>0</v>
      </c>
      <c r="K463" s="46">
        <f>SUM(L453:L461)</f>
        <v>0</v>
      </c>
      <c r="L463" s="47">
        <f>K463+L448</f>
        <v>0</v>
      </c>
      <c r="M463" s="46">
        <f>SUM(N453:N461)</f>
        <v>0</v>
      </c>
      <c r="N463" s="47">
        <f>M463+N448</f>
        <v>0</v>
      </c>
      <c r="O463" s="46">
        <f>SUM(P453:P461)</f>
        <v>0</v>
      </c>
      <c r="P463" s="47">
        <f>O463+P448</f>
        <v>0</v>
      </c>
      <c r="Q463" s="46">
        <f>SUM(R453:R461)</f>
        <v>0</v>
      </c>
      <c r="R463" s="47">
        <f>Q463+R448</f>
        <v>0</v>
      </c>
      <c r="S463" s="46">
        <f>SUM(T453:T461)</f>
        <v>0</v>
      </c>
      <c r="T463" s="47">
        <f>S463+T448</f>
        <v>0</v>
      </c>
      <c r="U463" s="46">
        <f>SUM(V453:V461)</f>
        <v>0</v>
      </c>
      <c r="V463" s="47">
        <f>U463+V448</f>
        <v>0</v>
      </c>
      <c r="AF463" s="34"/>
      <c r="AG463" s="34"/>
      <c r="AH463" s="34"/>
      <c r="AI463" s="34"/>
      <c r="AJ463" s="34"/>
      <c r="DN463" s="12"/>
    </row>
    <row r="464" spans="3:122" ht="11.25" customHeight="1" thickBot="1" x14ac:dyDescent="0.25">
      <c r="C464" s="41">
        <f>(I464+K464+M464+O464+Q464+S464+U464)</f>
        <v>0</v>
      </c>
      <c r="E464" s="42">
        <f>C464/8</f>
        <v>0</v>
      </c>
      <c r="F464" s="138">
        <f>F463+F449</f>
        <v>0</v>
      </c>
      <c r="G464" s="138"/>
      <c r="H464" s="138"/>
      <c r="I464" s="48">
        <f>I462*I463</f>
        <v>0</v>
      </c>
      <c r="J464" s="49">
        <f>I464+J449</f>
        <v>0</v>
      </c>
      <c r="K464" s="48">
        <f>K462*K463</f>
        <v>0</v>
      </c>
      <c r="L464" s="49">
        <f>K464+L449</f>
        <v>0</v>
      </c>
      <c r="M464" s="48">
        <f>M462*M463</f>
        <v>0</v>
      </c>
      <c r="N464" s="49">
        <f>M464+N449</f>
        <v>0</v>
      </c>
      <c r="O464" s="48">
        <f>O462*O463</f>
        <v>0</v>
      </c>
      <c r="P464" s="49">
        <f>O464+P449</f>
        <v>0</v>
      </c>
      <c r="Q464" s="48">
        <f>Q462*Q463</f>
        <v>0</v>
      </c>
      <c r="R464" s="49">
        <f>Q464+R449</f>
        <v>0</v>
      </c>
      <c r="S464" s="48">
        <f>S462*S463</f>
        <v>0</v>
      </c>
      <c r="T464" s="49">
        <f>S464+T449</f>
        <v>0</v>
      </c>
      <c r="U464" s="48">
        <f>U462*U463</f>
        <v>0</v>
      </c>
      <c r="V464" s="49">
        <f>U464+V449</f>
        <v>0</v>
      </c>
      <c r="AF464" s="34"/>
      <c r="AG464" s="34"/>
      <c r="AH464" s="34"/>
      <c r="AI464" s="34"/>
      <c r="AJ464" s="34"/>
      <c r="AL464" s="5">
        <f>MAX(I464,K464,M464,O464,Q464,S464,U464)</f>
        <v>0</v>
      </c>
      <c r="AM464" s="5">
        <f>MIN(I464,K464,M464,O464,Q464,S464,U464)</f>
        <v>0</v>
      </c>
      <c r="AN464" s="5"/>
      <c r="AO464" s="5"/>
      <c r="AP464" s="5"/>
      <c r="AQ464" s="5"/>
      <c r="AR464" s="5"/>
      <c r="AS464" s="13"/>
      <c r="AT464" s="5"/>
      <c r="AU464" s="5"/>
      <c r="AV464" s="5"/>
      <c r="AW464" s="5"/>
      <c r="AX464" s="5"/>
      <c r="AY464" s="5"/>
      <c r="AZ464" s="5"/>
      <c r="BA464" s="5"/>
      <c r="BB464" s="5"/>
      <c r="BD464" s="5"/>
      <c r="BE464" s="5"/>
      <c r="BF464" s="14"/>
      <c r="BG464" s="13"/>
      <c r="BH464" s="5"/>
      <c r="BI464" s="14"/>
      <c r="BJ464" s="13"/>
      <c r="BK464" s="5"/>
      <c r="BL464" s="14"/>
      <c r="BM464" s="13"/>
      <c r="BN464" s="5"/>
      <c r="BO464" s="14"/>
      <c r="BP464" s="13"/>
      <c r="BQ464" s="5"/>
      <c r="BR464" s="14"/>
      <c r="BS464" s="13"/>
      <c r="BT464" s="5"/>
      <c r="BU464" s="14"/>
      <c r="BV464" s="13"/>
      <c r="BW464" s="5"/>
      <c r="BX464" s="14"/>
      <c r="BY464" s="13"/>
      <c r="BZ464" s="5"/>
      <c r="CA464" s="14"/>
      <c r="CB464" s="13"/>
      <c r="CC464" s="5"/>
      <c r="CD464" s="14"/>
      <c r="CE464" s="13"/>
      <c r="CF464" s="5"/>
      <c r="CG464" s="14"/>
      <c r="CH464" s="13"/>
      <c r="CI464" s="5"/>
      <c r="CJ464" s="14"/>
      <c r="CK464" s="13"/>
      <c r="CL464" s="5"/>
      <c r="CM464" s="14"/>
      <c r="CN464" s="13"/>
      <c r="CO464" s="5"/>
      <c r="CP464" s="14"/>
      <c r="CQ464" s="13"/>
      <c r="CR464" s="5"/>
      <c r="CS464" s="14"/>
      <c r="CT464" s="13"/>
      <c r="CU464" s="5"/>
      <c r="CV464" s="14"/>
      <c r="CW464" s="13"/>
      <c r="CX464" s="5"/>
      <c r="CY464" s="14"/>
      <c r="CZ464" s="13"/>
      <c r="DA464" s="5"/>
      <c r="DB464" s="14"/>
      <c r="DC464" s="13"/>
      <c r="DD464" s="5"/>
      <c r="DE464" s="14"/>
      <c r="DF464" s="5"/>
      <c r="DG464" s="5"/>
      <c r="DH464" s="5"/>
      <c r="DN464" s="12"/>
    </row>
    <row r="465" spans="3:122" ht="11.25" customHeight="1" thickTop="1" x14ac:dyDescent="0.2">
      <c r="I465" s="50"/>
      <c r="J465" s="50">
        <f>L464-J464</f>
        <v>0</v>
      </c>
      <c r="K465" s="50"/>
      <c r="L465" s="50"/>
      <c r="M465" s="50"/>
      <c r="N465" s="50">
        <f>L464-N464</f>
        <v>0</v>
      </c>
      <c r="O465" s="50"/>
      <c r="P465" s="50">
        <f>L464-P464</f>
        <v>0</v>
      </c>
      <c r="Q465" s="50"/>
      <c r="R465" s="50">
        <f>L464-R464</f>
        <v>0</v>
      </c>
      <c r="S465" s="50"/>
      <c r="T465" s="50">
        <f>L464-T464</f>
        <v>0</v>
      </c>
      <c r="U465" s="50"/>
      <c r="V465" s="50">
        <f>L464-V464</f>
        <v>0</v>
      </c>
    </row>
    <row r="466" spans="3:122" ht="11.25" customHeight="1" x14ac:dyDescent="0.2">
      <c r="I466" s="139" t="str">
        <f>ß101</f>
        <v>Kropp</v>
      </c>
      <c r="J466" s="139"/>
      <c r="K466" s="139" t="str">
        <f>ß102</f>
        <v>Nörnberg</v>
      </c>
      <c r="L466" s="139"/>
      <c r="M466" s="139" t="str">
        <f>ß103</f>
        <v>Bübel</v>
      </c>
      <c r="N466" s="139"/>
      <c r="O466" s="139" t="str">
        <f>ß104</f>
        <v>Schwicht.</v>
      </c>
      <c r="P466" s="139"/>
      <c r="Q466" s="139" t="str">
        <f>ß105</f>
        <v>Rontzko.</v>
      </c>
      <c r="R466" s="139"/>
      <c r="S466" s="139" t="str">
        <f>ß106</f>
        <v>Hauschildt</v>
      </c>
      <c r="T466" s="139"/>
      <c r="U466" s="139" t="str">
        <f>ß107</f>
        <v>Zerres</v>
      </c>
      <c r="V466" s="139"/>
      <c r="AF466" s="11"/>
      <c r="AG466" s="11"/>
      <c r="AH466" s="11"/>
      <c r="AI466" s="11"/>
      <c r="AJ466" s="11"/>
      <c r="AL466" s="5" t="str">
        <f>IF($I479=$AL479,I466,"x")</f>
        <v>Kropp</v>
      </c>
      <c r="AM466" s="5" t="str">
        <f>IF($K479=$AL479,K466,"x")</f>
        <v>Nörnberg</v>
      </c>
      <c r="AN466" s="5" t="str">
        <f>IF($M479=$AL479,M466,"x")</f>
        <v>Bübel</v>
      </c>
      <c r="AO466" s="5" t="str">
        <f>IF($O479=$AL479,O466,"x")</f>
        <v>Schwicht.</v>
      </c>
      <c r="AP466" s="5" t="str">
        <f>IF($Q479=$AL479,Q466,"x")</f>
        <v>Rontzko.</v>
      </c>
      <c r="AQ466" s="5" t="str">
        <f>IF($S479=$AL479,S466,"x")</f>
        <v>Hauschildt</v>
      </c>
      <c r="AR466" s="5" t="str">
        <f>IF($U479=$AL479,U466,"x")</f>
        <v>Zerres</v>
      </c>
      <c r="AS466" s="13" t="str">
        <f>IF($I479=$AM479,I466,"x")</f>
        <v>Kropp</v>
      </c>
      <c r="AT466" s="5" t="str">
        <f>IF($K479=$AM479,K466,"x")</f>
        <v>Nörnberg</v>
      </c>
      <c r="AU466" s="5" t="str">
        <f>IF($M479=$AM479,M466,"x")</f>
        <v>Bübel</v>
      </c>
      <c r="AV466" s="5" t="str">
        <f>IF($O479=$AM479,O466,"x")</f>
        <v>Schwicht.</v>
      </c>
      <c r="AW466" s="5" t="str">
        <f>IF($Q479=$AM479,Q466,"x")</f>
        <v>Rontzko.</v>
      </c>
      <c r="AX466" s="5" t="str">
        <f>IF($S479=$AM479,S466,"x")</f>
        <v>Hauschildt</v>
      </c>
      <c r="AY466" s="5" t="str">
        <f>IF($U479=$AM479,U466,"x")</f>
        <v>Zerres</v>
      </c>
      <c r="BD466" s="140" t="str">
        <f>ß01</f>
        <v>Bayern</v>
      </c>
      <c r="BE466" s="140"/>
      <c r="BF466" s="140"/>
      <c r="BG466" s="141" t="str">
        <f>ß02</f>
        <v>Leipzig</v>
      </c>
      <c r="BH466" s="141"/>
      <c r="BI466" s="141"/>
      <c r="BJ466" s="141" t="str">
        <f>ß03</f>
        <v>Leverk.</v>
      </c>
      <c r="BK466" s="141"/>
      <c r="BL466" s="141"/>
      <c r="BM466" s="141" t="str">
        <f>ß04</f>
        <v>Hoffenheim</v>
      </c>
      <c r="BN466" s="141"/>
      <c r="BO466" s="141"/>
      <c r="BP466" s="141" t="str">
        <f>ß05</f>
        <v>Frankfurt</v>
      </c>
      <c r="BQ466" s="141"/>
      <c r="BR466" s="141"/>
      <c r="BS466" s="141" t="str">
        <f>ß06</f>
        <v>Werder</v>
      </c>
      <c r="BT466" s="141"/>
      <c r="BU466" s="141"/>
      <c r="BV466" s="141" t="str">
        <f>ß07</f>
        <v>Freiburg</v>
      </c>
      <c r="BW466" s="141"/>
      <c r="BX466" s="141"/>
      <c r="BY466" s="141" t="str">
        <f>ß08</f>
        <v>Augsburg</v>
      </c>
      <c r="BZ466" s="141"/>
      <c r="CA466" s="141"/>
      <c r="CB466" s="141" t="str">
        <f>ß09</f>
        <v>Mainz</v>
      </c>
      <c r="CC466" s="141"/>
      <c r="CD466" s="141"/>
      <c r="CE466" s="141" t="str">
        <f>ß10</f>
        <v>Köln</v>
      </c>
      <c r="CF466" s="141"/>
      <c r="CG466" s="141"/>
      <c r="CH466" s="141" t="str">
        <f>ß11</f>
        <v>M'gladb.</v>
      </c>
      <c r="CI466" s="141"/>
      <c r="CJ466" s="141"/>
      <c r="CK466" s="141" t="str">
        <f>ß12</f>
        <v>HSV</v>
      </c>
      <c r="CL466" s="141"/>
      <c r="CM466" s="141"/>
      <c r="CN466" s="141" t="str">
        <f>ß13</f>
        <v>Union</v>
      </c>
      <c r="CO466" s="141"/>
      <c r="CP466" s="141"/>
      <c r="CQ466" s="141" t="str">
        <f>ß14</f>
        <v>Stuttgart</v>
      </c>
      <c r="CR466" s="141"/>
      <c r="CS466" s="141"/>
      <c r="CT466" s="141" t="str">
        <f>ß15</f>
        <v>St. Pauli</v>
      </c>
      <c r="CU466" s="141"/>
      <c r="CV466" s="141"/>
      <c r="CW466" s="141" t="str">
        <f>ß16</f>
        <v>Dortmund</v>
      </c>
      <c r="CX466" s="141"/>
      <c r="CY466" s="141"/>
      <c r="CZ466" s="141" t="str">
        <f>ß17</f>
        <v>Heidenheim</v>
      </c>
      <c r="DA466" s="141"/>
      <c r="DB466" s="141"/>
      <c r="DC466" s="141" t="str">
        <f>ß18</f>
        <v>Wolfsburg</v>
      </c>
      <c r="DD466" s="141"/>
      <c r="DE466" s="141"/>
      <c r="DN466" s="12"/>
    </row>
    <row r="467" spans="3:122" ht="11.25" customHeight="1" x14ac:dyDescent="0.2">
      <c r="C467" s="16" t="str">
        <f>Mannschaften!F32</f>
        <v>32. Spieltag</v>
      </c>
      <c r="D467" s="11"/>
      <c r="E467" s="17" t="str">
        <f>Mannschaften!G32</f>
        <v>2./3.5.26</v>
      </c>
      <c r="I467" s="19">
        <f>RANK(Rang!A32,Rang!A32:G32)</f>
        <v>1</v>
      </c>
      <c r="J467" s="20">
        <f>RANK(Rang!H32,Rang!H32:N32)</f>
        <v>1</v>
      </c>
      <c r="K467" s="19">
        <f>RANK(Rang!B32,Rang!A32:G32)</f>
        <v>1</v>
      </c>
      <c r="L467" s="20">
        <f>RANK(Rang!I32,Rang!H32:N32)</f>
        <v>1</v>
      </c>
      <c r="M467" s="19">
        <f>RANK(Rang!C32,Rang!A32:G32)</f>
        <v>1</v>
      </c>
      <c r="N467" s="20">
        <f>RANK(Rang!J32,Rang!H32:N32)</f>
        <v>1</v>
      </c>
      <c r="O467" s="19">
        <f>RANK(Rang!D32,Rang!A32:G32)</f>
        <v>1</v>
      </c>
      <c r="P467" s="20">
        <f>RANK(Rang!K32,Rang!H32:N32)</f>
        <v>1</v>
      </c>
      <c r="Q467" s="19">
        <f>RANK(Rang!E32,Rang!A32:G32)</f>
        <v>1</v>
      </c>
      <c r="R467" s="20">
        <f>RANK(Rang!L32,Rang!H32:N32)</f>
        <v>1</v>
      </c>
      <c r="S467" s="19">
        <f>RANK(Rang!F32,Rang!A32:G32)</f>
        <v>1</v>
      </c>
      <c r="T467" s="20">
        <f>RANK(Rang!M32,Rang!H32:N32)</f>
        <v>1</v>
      </c>
      <c r="U467" s="19">
        <f>RANK(Rang!G32,Rang!A32:G32)</f>
        <v>1</v>
      </c>
      <c r="V467" s="20">
        <f>RANK(Rang!N32,Rang!H32:N32)</f>
        <v>1</v>
      </c>
      <c r="AF467" s="22"/>
      <c r="AG467" s="22"/>
      <c r="AH467" s="22"/>
      <c r="AI467" s="22"/>
      <c r="AJ467" s="22"/>
      <c r="AK467" s="21"/>
      <c r="AL467" s="21"/>
      <c r="AM467" s="21"/>
      <c r="AN467" s="21"/>
      <c r="AO467" s="21"/>
      <c r="AP467" s="21"/>
      <c r="AQ467" s="21"/>
      <c r="AR467" s="21"/>
      <c r="AS467" s="24"/>
      <c r="AT467" s="21"/>
      <c r="AU467" s="21"/>
      <c r="AV467" s="21"/>
      <c r="AW467" s="21"/>
      <c r="AX467" s="21"/>
      <c r="AY467" s="21"/>
      <c r="AZ467" s="21"/>
      <c r="BA467" s="21"/>
      <c r="BB467" s="21"/>
      <c r="BD467" s="25" t="s">
        <v>4</v>
      </c>
      <c r="BE467" s="25" t="s">
        <v>5</v>
      </c>
      <c r="BF467" s="26" t="s">
        <v>6</v>
      </c>
      <c r="BG467" s="27" t="s">
        <v>4</v>
      </c>
      <c r="BH467" s="25" t="s">
        <v>5</v>
      </c>
      <c r="BI467" s="26" t="s">
        <v>6</v>
      </c>
      <c r="BJ467" s="27" t="s">
        <v>4</v>
      </c>
      <c r="BK467" s="25" t="s">
        <v>5</v>
      </c>
      <c r="BL467" s="26" t="s">
        <v>6</v>
      </c>
      <c r="BM467" s="27" t="s">
        <v>4</v>
      </c>
      <c r="BN467" s="25" t="s">
        <v>5</v>
      </c>
      <c r="BO467" s="26" t="s">
        <v>6</v>
      </c>
      <c r="BP467" s="27" t="s">
        <v>4</v>
      </c>
      <c r="BQ467" s="25" t="s">
        <v>5</v>
      </c>
      <c r="BR467" s="26" t="s">
        <v>6</v>
      </c>
      <c r="BS467" s="27" t="s">
        <v>4</v>
      </c>
      <c r="BT467" s="25" t="s">
        <v>5</v>
      </c>
      <c r="BU467" s="26" t="s">
        <v>6</v>
      </c>
      <c r="BV467" s="27" t="s">
        <v>4</v>
      </c>
      <c r="BW467" s="25" t="s">
        <v>5</v>
      </c>
      <c r="BX467" s="26" t="s">
        <v>6</v>
      </c>
      <c r="BY467" s="27" t="s">
        <v>4</v>
      </c>
      <c r="BZ467" s="25" t="s">
        <v>5</v>
      </c>
      <c r="CA467" s="26" t="s">
        <v>6</v>
      </c>
      <c r="CB467" s="27" t="s">
        <v>4</v>
      </c>
      <c r="CC467" s="25" t="s">
        <v>5</v>
      </c>
      <c r="CD467" s="26" t="s">
        <v>6</v>
      </c>
      <c r="CE467" s="27" t="s">
        <v>4</v>
      </c>
      <c r="CF467" s="25" t="s">
        <v>5</v>
      </c>
      <c r="CG467" s="26" t="s">
        <v>6</v>
      </c>
      <c r="CH467" s="27" t="s">
        <v>4</v>
      </c>
      <c r="CI467" s="25" t="s">
        <v>5</v>
      </c>
      <c r="CJ467" s="26" t="s">
        <v>6</v>
      </c>
      <c r="CK467" s="27" t="s">
        <v>4</v>
      </c>
      <c r="CL467" s="25" t="s">
        <v>5</v>
      </c>
      <c r="CM467" s="26" t="s">
        <v>6</v>
      </c>
      <c r="CN467" s="27" t="s">
        <v>4</v>
      </c>
      <c r="CO467" s="25" t="s">
        <v>5</v>
      </c>
      <c r="CP467" s="26" t="s">
        <v>6</v>
      </c>
      <c r="CQ467" s="27" t="s">
        <v>4</v>
      </c>
      <c r="CR467" s="25" t="s">
        <v>5</v>
      </c>
      <c r="CS467" s="26" t="s">
        <v>6</v>
      </c>
      <c r="CT467" s="27" t="s">
        <v>4</v>
      </c>
      <c r="CU467" s="25" t="s">
        <v>5</v>
      </c>
      <c r="CV467" s="26" t="s">
        <v>6</v>
      </c>
      <c r="CW467" s="27" t="s">
        <v>4</v>
      </c>
      <c r="CX467" s="25" t="s">
        <v>5</v>
      </c>
      <c r="CY467" s="26" t="s">
        <v>6</v>
      </c>
      <c r="CZ467" s="27" t="s">
        <v>4</v>
      </c>
      <c r="DA467" s="25" t="s">
        <v>5</v>
      </c>
      <c r="DB467" s="26" t="s">
        <v>6</v>
      </c>
      <c r="DC467" s="27" t="s">
        <v>4</v>
      </c>
      <c r="DD467" s="25" t="s">
        <v>5</v>
      </c>
      <c r="DE467" s="26" t="s">
        <v>6</v>
      </c>
      <c r="DF467" s="21"/>
      <c r="DG467" s="21"/>
      <c r="DH467" s="21"/>
      <c r="DN467" s="136" t="s">
        <v>7</v>
      </c>
      <c r="DO467" s="136"/>
      <c r="DP467" s="136" t="s">
        <v>8</v>
      </c>
      <c r="DQ467" s="136"/>
      <c r="DR467" s="28"/>
    </row>
    <row r="468" spans="3:122" ht="11.25" customHeight="1" x14ac:dyDescent="0.2">
      <c r="C468" s="2" t="str">
        <f t="shared" ref="C468:C476" si="467">E213</f>
        <v>M'gladb.</v>
      </c>
      <c r="D468" s="3" t="s">
        <v>11</v>
      </c>
      <c r="E468" s="2" t="str">
        <f t="shared" ref="E468:E476" si="468">C213</f>
        <v>Dortmund</v>
      </c>
      <c r="F468" s="29"/>
      <c r="G468" s="3" t="s">
        <v>12</v>
      </c>
      <c r="H468" s="30"/>
      <c r="I468" s="31"/>
      <c r="J468" s="32" t="str">
        <f t="shared" ref="J468:J476" si="469">IF($F468="","",(IF(I468="","",IF(I468=$DG468,(VLOOKUP($DH468,$DJ$3:$DK$11,2,FALSE())),0))))</f>
        <v/>
      </c>
      <c r="K468" s="31"/>
      <c r="L468" s="32" t="str">
        <f t="shared" ref="L468:L476" si="470">IF($F468="","",(IF(K468="","",IF(K468=$DG468,(VLOOKUP($DH468,$DJ$3:$DK$11,2,FALSE())),0))))</f>
        <v/>
      </c>
      <c r="M468" s="31"/>
      <c r="N468" s="32" t="str">
        <f t="shared" ref="N468:N476" si="471">IF($F468="","",(IF(M468="","",IF(M468=$DG468,(VLOOKUP($DH468,$DJ$3:$DK$11,2,FALSE())),0))))</f>
        <v/>
      </c>
      <c r="O468" s="31"/>
      <c r="P468" s="32" t="str">
        <f t="shared" ref="P468:P476" si="472">IF($F468="","",(IF(O468="","",IF(O468=$DG468,(VLOOKUP($DH468,$DJ$3:$DK$11,2,FALSE())),0))))</f>
        <v/>
      </c>
      <c r="Q468" s="31"/>
      <c r="R468" s="32" t="str">
        <f t="shared" ref="R468:R476" si="473">IF($F468="","",(IF(Q468="","",IF(Q468=$DG468,(VLOOKUP($DH468,$DJ$3:$DK$11,2,FALSE())),0))))</f>
        <v/>
      </c>
      <c r="S468" s="31"/>
      <c r="T468" s="32" t="str">
        <f t="shared" ref="T468:T476" si="474">IF($F468="","",(IF(S468="","",IF(S468=$DG468,(VLOOKUP($DH468,$DJ$3:$DK$11,2,FALSE())),0))))</f>
        <v/>
      </c>
      <c r="U468" s="31"/>
      <c r="V468" s="32" t="str">
        <f t="shared" ref="V468:V476" si="475">IF($F468="","",(IF(U468="","",IF(U468=$DG468,(VLOOKUP($DH468,$DJ$3:$DK$11,2,FALSE())),0))))</f>
        <v/>
      </c>
      <c r="AF468" s="34"/>
      <c r="AG468" s="34"/>
      <c r="AH468" s="34"/>
      <c r="AI468" s="34"/>
      <c r="AJ468" s="34"/>
      <c r="AN468" s="5"/>
      <c r="AO468" s="5"/>
      <c r="AP468" s="5"/>
      <c r="AQ468" s="5"/>
      <c r="AR468" s="5"/>
      <c r="AS468" s="13"/>
      <c r="AT468" s="5"/>
      <c r="AU468" s="5"/>
      <c r="AV468" s="5"/>
      <c r="AW468" s="5"/>
      <c r="AX468" s="5"/>
      <c r="AY468" s="5"/>
      <c r="BC468" s="6">
        <v>467</v>
      </c>
      <c r="BD468" s="35">
        <f>IF(ISERROR(MATCH(ß01,$C468:$C476,0)),"",MATCH(ß01,$C468:$C476,0))</f>
        <v>7</v>
      </c>
      <c r="BE468" s="35" t="str">
        <f>IF(ISERROR(MATCH(ß01,$E468:$E476,0)),"",MATCH(ß01,$E468:$E476,0))</f>
        <v/>
      </c>
      <c r="BF468" s="15">
        <f>SUM(BD468:BE468)+BC468</f>
        <v>474</v>
      </c>
      <c r="BG468" s="36" t="str">
        <f>IF(ISERROR(MATCH(ß02,$C468:$C476,0)),"",MATCH(ß02,$C468:$C476,0))</f>
        <v/>
      </c>
      <c r="BH468" s="35">
        <f>IF(ISERROR(MATCH(ß02,$E468:$E476,0)),"",MATCH(ß02,$E468:$E476,0))</f>
        <v>3</v>
      </c>
      <c r="BI468" s="15">
        <f>SUM(BG468:BH468)+BC468</f>
        <v>470</v>
      </c>
      <c r="BJ468" s="36">
        <f>IF(ISERROR(MATCH(ß03,$C468:$C476,0)),"",MATCH(ß03,$C468:$C476,0))</f>
        <v>3</v>
      </c>
      <c r="BK468" s="35" t="str">
        <f>IF(ISERROR(MATCH(ß03,$E468:$E476,0)),"",MATCH(ß03,$E468:$E476,0))</f>
        <v/>
      </c>
      <c r="BL468" s="15">
        <f>SUM(BJ468:BK468)+BC468</f>
        <v>470</v>
      </c>
      <c r="BM468" s="36">
        <f>IF(ISERROR(MATCH(ß04,$C468:$C476,0)),"",MATCH(ß04,$C468:$C476,0))</f>
        <v>4</v>
      </c>
      <c r="BN468" s="35" t="str">
        <f>IF(ISERROR(MATCH(ß04,$E468:$E476,0)),"",MATCH(ß04,$E468:$E476,0))</f>
        <v/>
      </c>
      <c r="BO468" s="15">
        <f>SUM(BM468:BN468)+BC468</f>
        <v>471</v>
      </c>
      <c r="BP468" s="36">
        <f>IF(ISERROR(MATCH(ß05,$C468:$C476,0)),"",MATCH(ß05,$C468:$C476,0))</f>
        <v>9</v>
      </c>
      <c r="BQ468" s="35" t="str">
        <f>IF(ISERROR(MATCH(ß05,$E468:$E476,0)),"",MATCH(ß05,$E468:$E476,0))</f>
        <v/>
      </c>
      <c r="BR468" s="15">
        <f>SUM(BP468:BQ468)+BC468</f>
        <v>476</v>
      </c>
      <c r="BS468" s="36">
        <f>IF(ISERROR(MATCH(ß06,$C468:$C476,0)),"",MATCH(ß06,$C468:$C476,0))</f>
        <v>6</v>
      </c>
      <c r="BT468" s="35" t="str">
        <f>IF(ISERROR(MATCH(ß06,$E468:$E476,0)),"",MATCH(ß06,$E468:$E476,0))</f>
        <v/>
      </c>
      <c r="BU468" s="15">
        <f>SUM(BS468:BT468)+BC468</f>
        <v>473</v>
      </c>
      <c r="BV468" s="36">
        <f>IF(ISERROR(MATCH(ß07,$C468:$C476,0)),"",MATCH(ß07,$C468:$C476,0))</f>
        <v>5</v>
      </c>
      <c r="BW468" s="35" t="str">
        <f>IF(ISERROR(MATCH(ß07,$E468:$E476,0)),"",MATCH(ß07,$E468:$E476,0))</f>
        <v/>
      </c>
      <c r="BX468" s="15">
        <f>SUM(BV468:BW468)+BC468</f>
        <v>472</v>
      </c>
      <c r="BY468" s="36" t="str">
        <f>IF(ISERROR(MATCH(ß08,$C468:$C476,0)),"",MATCH(ß08,$C468:$C476,0))</f>
        <v/>
      </c>
      <c r="BZ468" s="35">
        <f>IF(ISERROR(MATCH(ß08,$E468:$E476,0)),"",MATCH(ß08,$E468:$E476,0))</f>
        <v>6</v>
      </c>
      <c r="CA468" s="15">
        <f>SUM(BY468:BZ468)+BC468</f>
        <v>473</v>
      </c>
      <c r="CB468" s="36" t="str">
        <f>IF(ISERROR(MATCH(ß09,$C468:$C476,0)),"",MATCH(ß09,$C468:$C476,0))</f>
        <v/>
      </c>
      <c r="CC468" s="35">
        <f>IF(ISERROR(MATCH(ß09,$E468:$E476,0)),"",MATCH(ß09,$E468:$E476,0))</f>
        <v>2</v>
      </c>
      <c r="CD468" s="15">
        <f>SUM(CB468:CC468)+BC468</f>
        <v>469</v>
      </c>
      <c r="CE468" s="36" t="str">
        <f>IF(ISERROR(MATCH(ß10,$C468:$C476,0)),"",MATCH(ß10,$C468:$C476,0))</f>
        <v/>
      </c>
      <c r="CF468" s="35">
        <f>IF(ISERROR(MATCH(ß10,$E468:$E476,0)),"",MATCH(ß10,$E468:$E476,0))</f>
        <v>8</v>
      </c>
      <c r="CG468" s="15">
        <f>SUM(CE468:CF468)+BC468</f>
        <v>475</v>
      </c>
      <c r="CH468" s="36">
        <f>IF(ISERROR(MATCH(ß11,$C468:$C476,0)),"",MATCH(ß11,$C468:$C476,0))</f>
        <v>1</v>
      </c>
      <c r="CI468" s="35" t="str">
        <f>IF(ISERROR(MATCH(ß11,$E468:$E476,0)),"",MATCH(ß11,$E468:$E476,0))</f>
        <v/>
      </c>
      <c r="CJ468" s="15">
        <f>SUM(CH468:CI468)+BC468</f>
        <v>468</v>
      </c>
      <c r="CK468" s="36" t="str">
        <f>IF(ISERROR(MATCH(ß12,$C468:$C476,0)),"",MATCH(ß12,$C468:$C476,0))</f>
        <v/>
      </c>
      <c r="CL468" s="35">
        <f>IF(ISERROR(MATCH(ß12,$E468:$E476,0)),"",MATCH(ß12,$E468:$E476,0))</f>
        <v>9</v>
      </c>
      <c r="CM468" s="15">
        <f>SUM(CK468:CL468)+BC468</f>
        <v>476</v>
      </c>
      <c r="CN468" s="36">
        <f>IF(ISERROR(MATCH(ß13,$C468:$C476,0)),"",MATCH(ß13,$C468:$C476,0))</f>
        <v>8</v>
      </c>
      <c r="CO468" s="35" t="str">
        <f>IF(ISERROR(MATCH(ß13,$E468:$E476,0)),"",MATCH(ß13,$E468:$E476,0))</f>
        <v/>
      </c>
      <c r="CP468" s="15">
        <f>SUM(CN468:CO468)+BC468</f>
        <v>475</v>
      </c>
      <c r="CQ468" s="36" t="str">
        <f>IF(ISERROR(MATCH(ß14,$C468:$C476,0)),"",MATCH(ß14,$C468:$C476,0))</f>
        <v/>
      </c>
      <c r="CR468" s="35">
        <f>IF(ISERROR(MATCH(ß14,$E468:$E476,0)),"",MATCH(ß14,$E468:$E476,0))</f>
        <v>4</v>
      </c>
      <c r="CS468" s="15">
        <f>SUM(CQ468:CR468)+BC468</f>
        <v>471</v>
      </c>
      <c r="CT468" s="36">
        <f>IF(ISERROR(MATCH(ß15,$C468:$C476,0)),"",MATCH(ß15,$C468:$C476,0))</f>
        <v>2</v>
      </c>
      <c r="CU468" s="35" t="str">
        <f>IF(ISERROR(MATCH(ß15,$E468:$E476,0)),"",MATCH(ß15,$E468:$E476,0))</f>
        <v/>
      </c>
      <c r="CV468" s="15">
        <f>SUM(CT468:CU468)+BC468</f>
        <v>469</v>
      </c>
      <c r="CW468" s="36" t="str">
        <f>IF(ISERROR(MATCH(ß16,$C468:$C476,0)),"",MATCH(ß16,$C468:$C476,0))</f>
        <v/>
      </c>
      <c r="CX468" s="35">
        <f>IF(ISERROR(MATCH(ß16,$E468:$E476,0)),"",MATCH(ß16,$E468:$E476,0))</f>
        <v>1</v>
      </c>
      <c r="CY468" s="15">
        <f>SUM(CW468:CX468)+BC468</f>
        <v>468</v>
      </c>
      <c r="CZ468" s="36" t="str">
        <f>IF(ISERROR(MATCH(ß17,$C468:$C476,0)),"",MATCH(ß17,$C468:$C476,0))</f>
        <v/>
      </c>
      <c r="DA468" s="35">
        <f>IF(ISERROR(MATCH(ß17,$E468:$E476,0)),"",MATCH(ß17,$E468:$E476,0))</f>
        <v>7</v>
      </c>
      <c r="DB468" s="15">
        <f>SUM(CZ468:DA468)+BC468</f>
        <v>474</v>
      </c>
      <c r="DC468" s="36" t="str">
        <f>IF(ISERROR(MATCH(ß18,$C468:$C476,0)),"",MATCH(ß18,$C468:$C476,0))</f>
        <v/>
      </c>
      <c r="DD468" s="35">
        <f>IF(ISERROR(MATCH(ß18,$E468:$E476,0)),"",MATCH(ß18,$E468:$E476,0))</f>
        <v>5</v>
      </c>
      <c r="DE468" s="15">
        <f>SUM(DC468:DD468)+BC468</f>
        <v>472</v>
      </c>
      <c r="DG468" s="8" t="str">
        <f t="shared" ref="DG468:DG476" si="476">IF(F468="","",(IF(F468=H468,0,IF(F468&gt;H468,1,IF(F468&lt;H468,2)))))</f>
        <v/>
      </c>
      <c r="DH468" s="3">
        <f>COUNTIF(I468,DG468)+COUNTIF(K468,DG468)+COUNTIF(M468,DG468)+COUNTIF(O468,DG468)+COUNTIF(Q468,DG468)+COUNTIF(S468,DG468)+COUNTIF(U468,DG468)</f>
        <v>7</v>
      </c>
      <c r="DN468" s="12">
        <f t="shared" ref="DN468:DN476" si="477">F468</f>
        <v>0</v>
      </c>
      <c r="DO468" s="5">
        <f t="shared" ref="DO468:DO476" si="478">H468</f>
        <v>0</v>
      </c>
      <c r="DP468" s="5" t="str">
        <f t="shared" ref="DP468:DP476" si="479">IF($F468="","",IF(DN468&gt;DO468,3,IF(DN468&lt;DO468,0,1)))</f>
        <v/>
      </c>
      <c r="DQ468" s="5" t="str">
        <f t="shared" ref="DQ468:DQ476" si="480">IF($H468="","",IF(DO468&gt;DN468,3,IF(DO468&lt;DN468,0,1)))</f>
        <v/>
      </c>
      <c r="DR468" s="5">
        <f t="shared" ref="DR468:DR476" si="481">IF(ISBLANK(F468),0,1)</f>
        <v>0</v>
      </c>
    </row>
    <row r="469" spans="3:122" ht="11.25" customHeight="1" x14ac:dyDescent="0.2">
      <c r="C469" s="2" t="str">
        <f t="shared" si="467"/>
        <v>St. Pauli</v>
      </c>
      <c r="D469" s="3" t="s">
        <v>11</v>
      </c>
      <c r="E469" s="2" t="str">
        <f t="shared" si="468"/>
        <v>Mainz</v>
      </c>
      <c r="F469" s="29"/>
      <c r="G469" s="3" t="s">
        <v>12</v>
      </c>
      <c r="H469" s="30"/>
      <c r="I469" s="37"/>
      <c r="J469" s="38" t="str">
        <f t="shared" si="469"/>
        <v/>
      </c>
      <c r="K469" s="37"/>
      <c r="L469" s="38" t="str">
        <f t="shared" si="470"/>
        <v/>
      </c>
      <c r="M469" s="37"/>
      <c r="N469" s="38" t="str">
        <f t="shared" si="471"/>
        <v/>
      </c>
      <c r="O469" s="37"/>
      <c r="P469" s="38" t="str">
        <f t="shared" si="472"/>
        <v/>
      </c>
      <c r="Q469" s="37"/>
      <c r="R469" s="38" t="str">
        <f t="shared" si="473"/>
        <v/>
      </c>
      <c r="S469" s="37"/>
      <c r="T469" s="38" t="str">
        <f t="shared" si="474"/>
        <v/>
      </c>
      <c r="U469" s="37"/>
      <c r="V469" s="38" t="str">
        <f t="shared" si="475"/>
        <v/>
      </c>
      <c r="AF469" s="34"/>
      <c r="AG469" s="34"/>
      <c r="AH469" s="34"/>
      <c r="AI469" s="34"/>
      <c r="AJ469" s="34"/>
      <c r="DG469" s="8" t="str">
        <f t="shared" si="476"/>
        <v/>
      </c>
      <c r="DH469" s="3">
        <f t="shared" ref="DH469:DH476" si="482">COUNTIF(I469,DG469)+COUNTIF(K469,DG469)+COUNTIF(M469,DG469)+COUNTIF(O469,DG469)+COUNTIF(Q469,DG469)+COUNTIF(S469,DG469)+COUNTIF(U469,DG469)</f>
        <v>7</v>
      </c>
      <c r="DN469" s="12">
        <f t="shared" si="477"/>
        <v>0</v>
      </c>
      <c r="DO469" s="5">
        <f t="shared" si="478"/>
        <v>0</v>
      </c>
      <c r="DP469" s="5" t="str">
        <f t="shared" si="479"/>
        <v/>
      </c>
      <c r="DQ469" s="5" t="str">
        <f t="shared" si="480"/>
        <v/>
      </c>
      <c r="DR469" s="5">
        <f t="shared" si="481"/>
        <v>0</v>
      </c>
    </row>
    <row r="470" spans="3:122" ht="11.25" customHeight="1" x14ac:dyDescent="0.2">
      <c r="C470" s="2" t="str">
        <f t="shared" si="467"/>
        <v>Leverk.</v>
      </c>
      <c r="D470" s="3" t="s">
        <v>11</v>
      </c>
      <c r="E470" s="2" t="str">
        <f t="shared" si="468"/>
        <v>Leipzig</v>
      </c>
      <c r="F470" s="29"/>
      <c r="G470" s="3" t="s">
        <v>12</v>
      </c>
      <c r="H470" s="30"/>
      <c r="I470" s="37"/>
      <c r="J470" s="38" t="str">
        <f t="shared" si="469"/>
        <v/>
      </c>
      <c r="K470" s="37"/>
      <c r="L470" s="38" t="str">
        <f t="shared" si="470"/>
        <v/>
      </c>
      <c r="M470" s="37"/>
      <c r="N470" s="38" t="str">
        <f t="shared" si="471"/>
        <v/>
      </c>
      <c r="O470" s="37"/>
      <c r="P470" s="38" t="str">
        <f t="shared" si="472"/>
        <v/>
      </c>
      <c r="Q470" s="37"/>
      <c r="R470" s="38" t="str">
        <f t="shared" si="473"/>
        <v/>
      </c>
      <c r="S470" s="37"/>
      <c r="T470" s="38" t="str">
        <f t="shared" si="474"/>
        <v/>
      </c>
      <c r="U470" s="37"/>
      <c r="V470" s="38" t="str">
        <f t="shared" si="475"/>
        <v/>
      </c>
      <c r="AF470" s="34"/>
      <c r="AG470" s="34"/>
      <c r="AH470" s="34"/>
      <c r="AI470" s="34"/>
      <c r="AJ470" s="34"/>
      <c r="DG470" s="8" t="str">
        <f t="shared" si="476"/>
        <v/>
      </c>
      <c r="DH470" s="3">
        <f t="shared" si="482"/>
        <v>7</v>
      </c>
      <c r="DN470" s="12">
        <f t="shared" si="477"/>
        <v>0</v>
      </c>
      <c r="DO470" s="5">
        <f t="shared" si="478"/>
        <v>0</v>
      </c>
      <c r="DP470" s="5" t="str">
        <f t="shared" si="479"/>
        <v/>
      </c>
      <c r="DQ470" s="5" t="str">
        <f t="shared" si="480"/>
        <v/>
      </c>
      <c r="DR470" s="5">
        <f t="shared" si="481"/>
        <v>0</v>
      </c>
    </row>
    <row r="471" spans="3:122" ht="11.25" customHeight="1" x14ac:dyDescent="0.2">
      <c r="C471" s="2" t="str">
        <f t="shared" si="467"/>
        <v>Hoffenheim</v>
      </c>
      <c r="D471" s="3" t="s">
        <v>11</v>
      </c>
      <c r="E471" s="2" t="str">
        <f t="shared" si="468"/>
        <v>Stuttgart</v>
      </c>
      <c r="F471" s="29"/>
      <c r="G471" s="3" t="s">
        <v>12</v>
      </c>
      <c r="H471" s="30"/>
      <c r="I471" s="37"/>
      <c r="J471" s="38" t="str">
        <f t="shared" si="469"/>
        <v/>
      </c>
      <c r="K471" s="37"/>
      <c r="L471" s="38" t="str">
        <f t="shared" si="470"/>
        <v/>
      </c>
      <c r="M471" s="37"/>
      <c r="N471" s="38" t="str">
        <f t="shared" si="471"/>
        <v/>
      </c>
      <c r="O471" s="37"/>
      <c r="P471" s="38" t="str">
        <f t="shared" si="472"/>
        <v/>
      </c>
      <c r="Q471" s="37"/>
      <c r="R471" s="38" t="str">
        <f t="shared" si="473"/>
        <v/>
      </c>
      <c r="S471" s="37"/>
      <c r="T471" s="38" t="str">
        <f t="shared" si="474"/>
        <v/>
      </c>
      <c r="U471" s="37"/>
      <c r="V471" s="38" t="str">
        <f t="shared" si="475"/>
        <v/>
      </c>
      <c r="AF471" s="34"/>
      <c r="AG471" s="34"/>
      <c r="AH471" s="34"/>
      <c r="AI471" s="34"/>
      <c r="AJ471" s="34"/>
      <c r="DG471" s="8" t="str">
        <f t="shared" si="476"/>
        <v/>
      </c>
      <c r="DH471" s="3">
        <f t="shared" si="482"/>
        <v>7</v>
      </c>
      <c r="DN471" s="12">
        <f t="shared" si="477"/>
        <v>0</v>
      </c>
      <c r="DO471" s="5">
        <f t="shared" si="478"/>
        <v>0</v>
      </c>
      <c r="DP471" s="5" t="str">
        <f t="shared" si="479"/>
        <v/>
      </c>
      <c r="DQ471" s="5" t="str">
        <f t="shared" si="480"/>
        <v/>
      </c>
      <c r="DR471" s="5">
        <f t="shared" si="481"/>
        <v>0</v>
      </c>
    </row>
    <row r="472" spans="3:122" ht="11.25" customHeight="1" x14ac:dyDescent="0.2">
      <c r="C472" s="2" t="str">
        <f t="shared" si="467"/>
        <v>Freiburg</v>
      </c>
      <c r="D472" s="3" t="s">
        <v>11</v>
      </c>
      <c r="E472" s="2" t="str">
        <f t="shared" si="468"/>
        <v>Wolfsburg</v>
      </c>
      <c r="F472" s="29"/>
      <c r="G472" s="3" t="s">
        <v>12</v>
      </c>
      <c r="H472" s="30"/>
      <c r="I472" s="37"/>
      <c r="J472" s="38" t="str">
        <f t="shared" si="469"/>
        <v/>
      </c>
      <c r="K472" s="37"/>
      <c r="L472" s="38" t="str">
        <f t="shared" si="470"/>
        <v/>
      </c>
      <c r="M472" s="37"/>
      <c r="N472" s="38" t="str">
        <f t="shared" si="471"/>
        <v/>
      </c>
      <c r="O472" s="37"/>
      <c r="P472" s="38" t="str">
        <f t="shared" si="472"/>
        <v/>
      </c>
      <c r="Q472" s="37"/>
      <c r="R472" s="38" t="str">
        <f t="shared" si="473"/>
        <v/>
      </c>
      <c r="S472" s="37"/>
      <c r="T472" s="38" t="str">
        <f t="shared" si="474"/>
        <v/>
      </c>
      <c r="U472" s="37"/>
      <c r="V472" s="38" t="str">
        <f t="shared" si="475"/>
        <v/>
      </c>
      <c r="AF472" s="34"/>
      <c r="AG472" s="34"/>
      <c r="AH472" s="34"/>
      <c r="AI472" s="34"/>
      <c r="AJ472" s="34"/>
      <c r="DG472" s="8" t="str">
        <f t="shared" si="476"/>
        <v/>
      </c>
      <c r="DH472" s="3">
        <f t="shared" si="482"/>
        <v>7</v>
      </c>
      <c r="DN472" s="12">
        <f t="shared" si="477"/>
        <v>0</v>
      </c>
      <c r="DO472" s="5">
        <f t="shared" si="478"/>
        <v>0</v>
      </c>
      <c r="DP472" s="5" t="str">
        <f t="shared" si="479"/>
        <v/>
      </c>
      <c r="DQ472" s="5" t="str">
        <f t="shared" si="480"/>
        <v/>
      </c>
      <c r="DR472" s="5">
        <f t="shared" si="481"/>
        <v>0</v>
      </c>
    </row>
    <row r="473" spans="3:122" ht="11.25" customHeight="1" x14ac:dyDescent="0.2">
      <c r="C473" s="2" t="str">
        <f t="shared" si="467"/>
        <v>Werder</v>
      </c>
      <c r="D473" s="3" t="s">
        <v>11</v>
      </c>
      <c r="E473" s="2" t="str">
        <f t="shared" si="468"/>
        <v>Augsburg</v>
      </c>
      <c r="F473" s="29"/>
      <c r="G473" s="3" t="s">
        <v>12</v>
      </c>
      <c r="H473" s="30"/>
      <c r="I473" s="37"/>
      <c r="J473" s="38" t="str">
        <f t="shared" si="469"/>
        <v/>
      </c>
      <c r="K473" s="37"/>
      <c r="L473" s="38" t="str">
        <f t="shared" si="470"/>
        <v/>
      </c>
      <c r="M473" s="37"/>
      <c r="N473" s="38" t="str">
        <f t="shared" si="471"/>
        <v/>
      </c>
      <c r="O473" s="37"/>
      <c r="P473" s="38" t="str">
        <f t="shared" si="472"/>
        <v/>
      </c>
      <c r="Q473" s="37"/>
      <c r="R473" s="38" t="str">
        <f t="shared" si="473"/>
        <v/>
      </c>
      <c r="S473" s="37"/>
      <c r="T473" s="38" t="str">
        <f t="shared" si="474"/>
        <v/>
      </c>
      <c r="U473" s="37"/>
      <c r="V473" s="38" t="str">
        <f t="shared" si="475"/>
        <v/>
      </c>
      <c r="AF473" s="34"/>
      <c r="AG473" s="34"/>
      <c r="AH473" s="34"/>
      <c r="AI473" s="34"/>
      <c r="AJ473" s="34"/>
      <c r="DG473" s="8" t="str">
        <f t="shared" si="476"/>
        <v/>
      </c>
      <c r="DH473" s="3">
        <f t="shared" si="482"/>
        <v>7</v>
      </c>
      <c r="DN473" s="12">
        <f t="shared" si="477"/>
        <v>0</v>
      </c>
      <c r="DO473" s="5">
        <f t="shared" si="478"/>
        <v>0</v>
      </c>
      <c r="DP473" s="5" t="str">
        <f t="shared" si="479"/>
        <v/>
      </c>
      <c r="DQ473" s="5" t="str">
        <f t="shared" si="480"/>
        <v/>
      </c>
      <c r="DR473" s="5">
        <f t="shared" si="481"/>
        <v>0</v>
      </c>
    </row>
    <row r="474" spans="3:122" ht="11.25" customHeight="1" x14ac:dyDescent="0.2">
      <c r="C474" s="2" t="str">
        <f t="shared" si="467"/>
        <v>Bayern</v>
      </c>
      <c r="D474" s="3" t="s">
        <v>11</v>
      </c>
      <c r="E474" s="2" t="str">
        <f t="shared" si="468"/>
        <v>Heidenheim</v>
      </c>
      <c r="F474" s="29"/>
      <c r="G474" s="3" t="s">
        <v>12</v>
      </c>
      <c r="H474" s="30"/>
      <c r="I474" s="37"/>
      <c r="J474" s="38" t="str">
        <f t="shared" si="469"/>
        <v/>
      </c>
      <c r="K474" s="37"/>
      <c r="L474" s="38" t="str">
        <f t="shared" si="470"/>
        <v/>
      </c>
      <c r="M474" s="37"/>
      <c r="N474" s="38" t="str">
        <f t="shared" si="471"/>
        <v/>
      </c>
      <c r="O474" s="37"/>
      <c r="P474" s="38" t="str">
        <f t="shared" si="472"/>
        <v/>
      </c>
      <c r="Q474" s="37"/>
      <c r="R474" s="38" t="str">
        <f t="shared" si="473"/>
        <v/>
      </c>
      <c r="S474" s="37"/>
      <c r="T474" s="38" t="str">
        <f t="shared" si="474"/>
        <v/>
      </c>
      <c r="U474" s="37"/>
      <c r="V474" s="38" t="str">
        <f t="shared" si="475"/>
        <v/>
      </c>
      <c r="AF474" s="34"/>
      <c r="AG474" s="34"/>
      <c r="AH474" s="34"/>
      <c r="AI474" s="34"/>
      <c r="AJ474" s="34"/>
      <c r="DG474" s="8" t="str">
        <f t="shared" si="476"/>
        <v/>
      </c>
      <c r="DH474" s="3">
        <f t="shared" si="482"/>
        <v>7</v>
      </c>
      <c r="DN474" s="12">
        <f t="shared" si="477"/>
        <v>0</v>
      </c>
      <c r="DO474" s="5">
        <f t="shared" si="478"/>
        <v>0</v>
      </c>
      <c r="DP474" s="5" t="str">
        <f t="shared" si="479"/>
        <v/>
      </c>
      <c r="DQ474" s="5" t="str">
        <f t="shared" si="480"/>
        <v/>
      </c>
      <c r="DR474" s="5">
        <f t="shared" si="481"/>
        <v>0</v>
      </c>
    </row>
    <row r="475" spans="3:122" ht="11.25" customHeight="1" x14ac:dyDescent="0.2">
      <c r="C475" s="2" t="str">
        <f t="shared" si="467"/>
        <v>Union</v>
      </c>
      <c r="D475" s="3" t="s">
        <v>11</v>
      </c>
      <c r="E475" s="2" t="str">
        <f t="shared" si="468"/>
        <v>Köln</v>
      </c>
      <c r="F475" s="29"/>
      <c r="G475" s="3" t="s">
        <v>12</v>
      </c>
      <c r="H475" s="30"/>
      <c r="I475" s="37"/>
      <c r="J475" s="38" t="str">
        <f t="shared" si="469"/>
        <v/>
      </c>
      <c r="K475" s="37"/>
      <c r="L475" s="38" t="str">
        <f t="shared" si="470"/>
        <v/>
      </c>
      <c r="M475" s="37"/>
      <c r="N475" s="38" t="str">
        <f t="shared" si="471"/>
        <v/>
      </c>
      <c r="O475" s="37"/>
      <c r="P475" s="38" t="str">
        <f t="shared" si="472"/>
        <v/>
      </c>
      <c r="Q475" s="37"/>
      <c r="R475" s="38" t="str">
        <f t="shared" si="473"/>
        <v/>
      </c>
      <c r="S475" s="37"/>
      <c r="T475" s="38" t="str">
        <f t="shared" si="474"/>
        <v/>
      </c>
      <c r="U475" s="37"/>
      <c r="V475" s="38" t="str">
        <f t="shared" si="475"/>
        <v/>
      </c>
      <c r="AF475" s="34"/>
      <c r="AG475" s="34"/>
      <c r="AH475" s="34"/>
      <c r="AI475" s="34"/>
      <c r="AJ475" s="34"/>
      <c r="DG475" s="8" t="str">
        <f t="shared" si="476"/>
        <v/>
      </c>
      <c r="DH475" s="3">
        <f t="shared" si="482"/>
        <v>7</v>
      </c>
      <c r="DN475" s="12">
        <f t="shared" si="477"/>
        <v>0</v>
      </c>
      <c r="DO475" s="5">
        <f t="shared" si="478"/>
        <v>0</v>
      </c>
      <c r="DP475" s="5" t="str">
        <f t="shared" si="479"/>
        <v/>
      </c>
      <c r="DQ475" s="5" t="str">
        <f t="shared" si="480"/>
        <v/>
      </c>
      <c r="DR475" s="5">
        <f t="shared" si="481"/>
        <v>0</v>
      </c>
    </row>
    <row r="476" spans="3:122" ht="11.25" customHeight="1" thickBot="1" x14ac:dyDescent="0.25">
      <c r="C476" s="2" t="str">
        <f t="shared" si="467"/>
        <v>Frankfurt</v>
      </c>
      <c r="D476" s="3" t="s">
        <v>11</v>
      </c>
      <c r="E476" s="2" t="str">
        <f t="shared" si="468"/>
        <v>HSV</v>
      </c>
      <c r="F476" s="29"/>
      <c r="G476" s="3" t="s">
        <v>12</v>
      </c>
      <c r="H476" s="30"/>
      <c r="I476" s="37"/>
      <c r="J476" s="38" t="str">
        <f t="shared" si="469"/>
        <v/>
      </c>
      <c r="K476" s="37"/>
      <c r="L476" s="38" t="str">
        <f t="shared" si="470"/>
        <v/>
      </c>
      <c r="M476" s="37"/>
      <c r="N476" s="38" t="str">
        <f t="shared" si="471"/>
        <v/>
      </c>
      <c r="O476" s="37"/>
      <c r="P476" s="38" t="str">
        <f t="shared" si="472"/>
        <v/>
      </c>
      <c r="Q476" s="37"/>
      <c r="R476" s="38" t="str">
        <f t="shared" si="473"/>
        <v/>
      </c>
      <c r="S476" s="37"/>
      <c r="T476" s="38" t="str">
        <f t="shared" si="474"/>
        <v/>
      </c>
      <c r="U476" s="37"/>
      <c r="V476" s="38" t="str">
        <f t="shared" si="475"/>
        <v/>
      </c>
      <c r="AF476" s="34"/>
      <c r="AG476" s="34"/>
      <c r="AH476" s="34"/>
      <c r="AI476" s="34"/>
      <c r="AJ476" s="34"/>
      <c r="DG476" s="8" t="str">
        <f t="shared" si="476"/>
        <v/>
      </c>
      <c r="DH476" s="3">
        <f t="shared" si="482"/>
        <v>7</v>
      </c>
      <c r="DN476" s="12">
        <f t="shared" si="477"/>
        <v>0</v>
      </c>
      <c r="DO476" s="5">
        <f t="shared" si="478"/>
        <v>0</v>
      </c>
      <c r="DP476" s="5" t="str">
        <f t="shared" si="479"/>
        <v/>
      </c>
      <c r="DQ476" s="5" t="str">
        <f t="shared" si="480"/>
        <v/>
      </c>
      <c r="DR476" s="5">
        <f t="shared" si="481"/>
        <v>0</v>
      </c>
    </row>
    <row r="477" spans="3:122" ht="11.25" customHeight="1" thickTop="1" x14ac:dyDescent="0.2">
      <c r="C477" s="41">
        <f>(I477+K477+M477+O477+Q477+S477+U477)</f>
        <v>0</v>
      </c>
      <c r="E477" s="42">
        <f>C477/8</f>
        <v>0</v>
      </c>
      <c r="F477" s="41">
        <f>SUM(F468:F476)</f>
        <v>0</v>
      </c>
      <c r="G477" s="2"/>
      <c r="H477" s="43">
        <f>SUM(H468:H476)</f>
        <v>0</v>
      </c>
      <c r="I477" s="44">
        <f>COUNTIF(J468:J476,"&gt;0")</f>
        <v>0</v>
      </c>
      <c r="J477" s="45">
        <f>I477+J462</f>
        <v>0</v>
      </c>
      <c r="K477" s="44">
        <f>COUNTIF(L468:L476,"&gt;0")</f>
        <v>0</v>
      </c>
      <c r="L477" s="45">
        <f>K477+L462</f>
        <v>0</v>
      </c>
      <c r="M477" s="44">
        <f>COUNTIF(N468:N476,"&gt;0")</f>
        <v>0</v>
      </c>
      <c r="N477" s="45">
        <f>M477+N462</f>
        <v>0</v>
      </c>
      <c r="O477" s="44">
        <f>COUNTIF(P468:P476,"&gt;0")</f>
        <v>0</v>
      </c>
      <c r="P477" s="45">
        <f>O477+P462</f>
        <v>0</v>
      </c>
      <c r="Q477" s="44">
        <f>COUNTIF(R468:R476,"&gt;0")</f>
        <v>0</v>
      </c>
      <c r="R477" s="45">
        <f>Q477+R462</f>
        <v>0</v>
      </c>
      <c r="S477" s="44">
        <f>COUNTIF(T468:T476,"&gt;0")</f>
        <v>0</v>
      </c>
      <c r="T477" s="45">
        <f>S477+T462</f>
        <v>0</v>
      </c>
      <c r="U477" s="44">
        <f>COUNTIF(V468:V476,"&gt;0")</f>
        <v>0</v>
      </c>
      <c r="V477" s="45">
        <f>U477+V462</f>
        <v>0</v>
      </c>
      <c r="AF477" s="34"/>
      <c r="AG477" s="34"/>
      <c r="AH477" s="34"/>
      <c r="AI477" s="34"/>
      <c r="AJ477" s="34"/>
      <c r="DN477" s="12"/>
    </row>
    <row r="478" spans="3:122" ht="11.25" customHeight="1" x14ac:dyDescent="0.2">
      <c r="C478" s="41">
        <f>(I478+K478+M478+O478+Q478+S478+U478)</f>
        <v>0</v>
      </c>
      <c r="E478" s="42">
        <f>C478/8</f>
        <v>0</v>
      </c>
      <c r="F478" s="137">
        <f>F477+H477</f>
        <v>0</v>
      </c>
      <c r="G478" s="137"/>
      <c r="H478" s="137"/>
      <c r="I478" s="46">
        <f>SUM(J468:J476)</f>
        <v>0</v>
      </c>
      <c r="J478" s="47">
        <f>I478+J463</f>
        <v>0</v>
      </c>
      <c r="K478" s="46">
        <f>SUM(L468:L476)</f>
        <v>0</v>
      </c>
      <c r="L478" s="47">
        <f>K478+L463</f>
        <v>0</v>
      </c>
      <c r="M478" s="46">
        <f>SUM(N468:N476)</f>
        <v>0</v>
      </c>
      <c r="N478" s="47">
        <f>M478+N463</f>
        <v>0</v>
      </c>
      <c r="O478" s="46">
        <f>SUM(P468:P476)</f>
        <v>0</v>
      </c>
      <c r="P478" s="47">
        <f>O478+P463</f>
        <v>0</v>
      </c>
      <c r="Q478" s="46">
        <f>SUM(R468:R476)</f>
        <v>0</v>
      </c>
      <c r="R478" s="47">
        <f>Q478+R463</f>
        <v>0</v>
      </c>
      <c r="S478" s="46">
        <f>SUM(T468:T476)</f>
        <v>0</v>
      </c>
      <c r="T478" s="47">
        <f>S478+T463</f>
        <v>0</v>
      </c>
      <c r="U478" s="46">
        <f>SUM(V468:V476)</f>
        <v>0</v>
      </c>
      <c r="V478" s="47">
        <f>U478+V463</f>
        <v>0</v>
      </c>
      <c r="AF478" s="34"/>
      <c r="AG478" s="34"/>
      <c r="AH478" s="34"/>
      <c r="AI478" s="34"/>
      <c r="AJ478" s="34"/>
      <c r="DN478" s="12"/>
    </row>
    <row r="479" spans="3:122" ht="11.25" customHeight="1" thickBot="1" x14ac:dyDescent="0.25">
      <c r="C479" s="41">
        <f>(I479+K479+M479+O479+Q479+S479+U479)</f>
        <v>0</v>
      </c>
      <c r="E479" s="42">
        <f>C479/8</f>
        <v>0</v>
      </c>
      <c r="F479" s="138">
        <f>F478+F464</f>
        <v>0</v>
      </c>
      <c r="G479" s="138"/>
      <c r="H479" s="138"/>
      <c r="I479" s="48">
        <f>I477*I478</f>
        <v>0</v>
      </c>
      <c r="J479" s="49">
        <f>I479+J464</f>
        <v>0</v>
      </c>
      <c r="K479" s="48">
        <f>K477*K478</f>
        <v>0</v>
      </c>
      <c r="L479" s="49">
        <f>K479+L464</f>
        <v>0</v>
      </c>
      <c r="M479" s="48">
        <f>M477*M478</f>
        <v>0</v>
      </c>
      <c r="N479" s="49">
        <f>M479+N464</f>
        <v>0</v>
      </c>
      <c r="O479" s="48">
        <f>O477*O478</f>
        <v>0</v>
      </c>
      <c r="P479" s="49">
        <f>O479+P464</f>
        <v>0</v>
      </c>
      <c r="Q479" s="48">
        <f>Q477*Q478</f>
        <v>0</v>
      </c>
      <c r="R479" s="49">
        <f>Q479+R464</f>
        <v>0</v>
      </c>
      <c r="S479" s="48">
        <f>S477*S478</f>
        <v>0</v>
      </c>
      <c r="T479" s="49">
        <f>S479+T464</f>
        <v>0</v>
      </c>
      <c r="U479" s="48">
        <f>U477*U478</f>
        <v>0</v>
      </c>
      <c r="V479" s="49">
        <f>U479+V464</f>
        <v>0</v>
      </c>
      <c r="AF479" s="34"/>
      <c r="AG479" s="34"/>
      <c r="AH479" s="34"/>
      <c r="AI479" s="34"/>
      <c r="AJ479" s="34"/>
      <c r="AL479" s="5">
        <f>MAX(I479,K479,M479,O479,Q479,S479,U479)</f>
        <v>0</v>
      </c>
      <c r="AM479" s="5">
        <f>MIN(I479,K479,M479,O479,Q479,S479,U479)</f>
        <v>0</v>
      </c>
      <c r="AN479" s="5"/>
      <c r="AO479" s="5"/>
      <c r="AP479" s="5"/>
      <c r="AQ479" s="5"/>
      <c r="AR479" s="5"/>
      <c r="AS479" s="13"/>
      <c r="AT479" s="5"/>
      <c r="AU479" s="5"/>
      <c r="AV479" s="5"/>
      <c r="AW479" s="5"/>
      <c r="AX479" s="5"/>
      <c r="AY479" s="5"/>
      <c r="AZ479" s="5"/>
      <c r="BA479" s="5"/>
      <c r="BB479" s="5"/>
      <c r="BD479" s="5"/>
      <c r="BE479" s="5"/>
      <c r="BF479" s="14"/>
      <c r="BG479" s="13"/>
      <c r="BH479" s="5"/>
      <c r="BI479" s="14"/>
      <c r="BJ479" s="13"/>
      <c r="BK479" s="5"/>
      <c r="BL479" s="14"/>
      <c r="BM479" s="13"/>
      <c r="BN479" s="5"/>
      <c r="BO479" s="14"/>
      <c r="BP479" s="13"/>
      <c r="BQ479" s="5"/>
      <c r="BR479" s="14"/>
      <c r="BS479" s="13"/>
      <c r="BT479" s="5"/>
      <c r="BU479" s="14"/>
      <c r="BV479" s="13"/>
      <c r="BW479" s="5"/>
      <c r="BX479" s="14"/>
      <c r="BY479" s="13"/>
      <c r="BZ479" s="5"/>
      <c r="CA479" s="14"/>
      <c r="CB479" s="13"/>
      <c r="CC479" s="5"/>
      <c r="CD479" s="14"/>
      <c r="CE479" s="13"/>
      <c r="CF479" s="5"/>
      <c r="CG479" s="14"/>
      <c r="CH479" s="13"/>
      <c r="CI479" s="5"/>
      <c r="CJ479" s="14"/>
      <c r="CK479" s="13"/>
      <c r="CL479" s="5"/>
      <c r="CM479" s="14"/>
      <c r="CN479" s="13"/>
      <c r="CO479" s="5"/>
      <c r="CP479" s="14"/>
      <c r="CQ479" s="13"/>
      <c r="CR479" s="5"/>
      <c r="CS479" s="14"/>
      <c r="CT479" s="13"/>
      <c r="CU479" s="5"/>
      <c r="CV479" s="14"/>
      <c r="CW479" s="13"/>
      <c r="CX479" s="5"/>
      <c r="CY479" s="14"/>
      <c r="CZ479" s="13"/>
      <c r="DA479" s="5"/>
      <c r="DB479" s="14"/>
      <c r="DC479" s="13"/>
      <c r="DD479" s="5"/>
      <c r="DE479" s="14"/>
      <c r="DF479" s="5"/>
      <c r="DG479" s="5"/>
      <c r="DH479" s="5"/>
      <c r="DN479" s="12"/>
    </row>
    <row r="480" spans="3:122" ht="11.25" customHeight="1" thickTop="1" x14ac:dyDescent="0.2">
      <c r="I480" s="50"/>
      <c r="J480" s="50">
        <f>L479-J479</f>
        <v>0</v>
      </c>
      <c r="K480" s="50"/>
      <c r="L480" s="50"/>
      <c r="M480" s="50"/>
      <c r="N480" s="50">
        <f>L479-N479</f>
        <v>0</v>
      </c>
      <c r="O480" s="50"/>
      <c r="P480" s="50">
        <f>L479-P479</f>
        <v>0</v>
      </c>
      <c r="Q480" s="50"/>
      <c r="R480" s="50">
        <f>L479-R479</f>
        <v>0</v>
      </c>
      <c r="S480" s="50"/>
      <c r="T480" s="50">
        <f>L479-T479</f>
        <v>0</v>
      </c>
      <c r="U480" s="50"/>
      <c r="V480" s="50">
        <f>L479-V479</f>
        <v>0</v>
      </c>
    </row>
    <row r="481" spans="3:122" ht="11.25" customHeight="1" x14ac:dyDescent="0.2">
      <c r="I481" s="139" t="str">
        <f>ß101</f>
        <v>Kropp</v>
      </c>
      <c r="J481" s="139"/>
      <c r="K481" s="139" t="str">
        <f>ß102</f>
        <v>Nörnberg</v>
      </c>
      <c r="L481" s="139"/>
      <c r="M481" s="139" t="str">
        <f>ß103</f>
        <v>Bübel</v>
      </c>
      <c r="N481" s="139"/>
      <c r="O481" s="139" t="str">
        <f>ß104</f>
        <v>Schwicht.</v>
      </c>
      <c r="P481" s="139"/>
      <c r="Q481" s="139" t="str">
        <f>ß105</f>
        <v>Rontzko.</v>
      </c>
      <c r="R481" s="139"/>
      <c r="S481" s="139" t="str">
        <f>ß106</f>
        <v>Hauschildt</v>
      </c>
      <c r="T481" s="139"/>
      <c r="U481" s="139" t="str">
        <f>ß107</f>
        <v>Zerres</v>
      </c>
      <c r="V481" s="139"/>
      <c r="AF481" s="11"/>
      <c r="AG481" s="11"/>
      <c r="AH481" s="11"/>
      <c r="AI481" s="11"/>
      <c r="AJ481" s="11"/>
      <c r="AL481" s="5" t="str">
        <f>IF($I494=$AL494,I481,"x")</f>
        <v>Kropp</v>
      </c>
      <c r="AM481" s="5" t="str">
        <f>IF($K494=$AL494,K481,"x")</f>
        <v>Nörnberg</v>
      </c>
      <c r="AN481" s="5" t="str">
        <f>IF($M494=$AL494,M481,"x")</f>
        <v>Bübel</v>
      </c>
      <c r="AO481" s="5" t="str">
        <f>IF($O494=$AL494,O481,"x")</f>
        <v>Schwicht.</v>
      </c>
      <c r="AP481" s="5" t="str">
        <f>IF($Q494=$AL494,Q481,"x")</f>
        <v>Rontzko.</v>
      </c>
      <c r="AQ481" s="5" t="str">
        <f>IF($S494=$AL494,S481,"x")</f>
        <v>Hauschildt</v>
      </c>
      <c r="AR481" s="5" t="str">
        <f>IF($U494=$AL494,U481,"x")</f>
        <v>Zerres</v>
      </c>
      <c r="AS481" s="13" t="str">
        <f>IF($I494=$AM494,I481,"x")</f>
        <v>Kropp</v>
      </c>
      <c r="AT481" s="5" t="str">
        <f>IF($K494=$AM494,K481,"x")</f>
        <v>Nörnberg</v>
      </c>
      <c r="AU481" s="5" t="str">
        <f>IF($M494=$AM494,M481,"x")</f>
        <v>Bübel</v>
      </c>
      <c r="AV481" s="5" t="str">
        <f>IF($O494=$AM494,O481,"x")</f>
        <v>Schwicht.</v>
      </c>
      <c r="AW481" s="5" t="str">
        <f>IF($Q494=$AM494,Q481,"x")</f>
        <v>Rontzko.</v>
      </c>
      <c r="AX481" s="5" t="str">
        <f>IF($S494=$AM494,S481,"x")</f>
        <v>Hauschildt</v>
      </c>
      <c r="AY481" s="5" t="str">
        <f>IF($U494=$AM494,U481,"x")</f>
        <v>Zerres</v>
      </c>
      <c r="BD481" s="140" t="str">
        <f>ß01</f>
        <v>Bayern</v>
      </c>
      <c r="BE481" s="140"/>
      <c r="BF481" s="140"/>
      <c r="BG481" s="141" t="str">
        <f>ß02</f>
        <v>Leipzig</v>
      </c>
      <c r="BH481" s="141"/>
      <c r="BI481" s="141"/>
      <c r="BJ481" s="141" t="str">
        <f>ß03</f>
        <v>Leverk.</v>
      </c>
      <c r="BK481" s="141"/>
      <c r="BL481" s="141"/>
      <c r="BM481" s="141" t="str">
        <f>ß04</f>
        <v>Hoffenheim</v>
      </c>
      <c r="BN481" s="141"/>
      <c r="BO481" s="141"/>
      <c r="BP481" s="141" t="str">
        <f>ß05</f>
        <v>Frankfurt</v>
      </c>
      <c r="BQ481" s="141"/>
      <c r="BR481" s="141"/>
      <c r="BS481" s="141" t="str">
        <f>ß06</f>
        <v>Werder</v>
      </c>
      <c r="BT481" s="141"/>
      <c r="BU481" s="141"/>
      <c r="BV481" s="141" t="str">
        <f>ß07</f>
        <v>Freiburg</v>
      </c>
      <c r="BW481" s="141"/>
      <c r="BX481" s="141"/>
      <c r="BY481" s="141" t="str">
        <f>ß08</f>
        <v>Augsburg</v>
      </c>
      <c r="BZ481" s="141"/>
      <c r="CA481" s="141"/>
      <c r="CB481" s="141" t="str">
        <f>ß09</f>
        <v>Mainz</v>
      </c>
      <c r="CC481" s="141"/>
      <c r="CD481" s="141"/>
      <c r="CE481" s="141" t="str">
        <f>ß10</f>
        <v>Köln</v>
      </c>
      <c r="CF481" s="141"/>
      <c r="CG481" s="141"/>
      <c r="CH481" s="141" t="str">
        <f>ß11</f>
        <v>M'gladb.</v>
      </c>
      <c r="CI481" s="141"/>
      <c r="CJ481" s="141"/>
      <c r="CK481" s="141" t="str">
        <f>ß12</f>
        <v>HSV</v>
      </c>
      <c r="CL481" s="141"/>
      <c r="CM481" s="141"/>
      <c r="CN481" s="141" t="str">
        <f>ß13</f>
        <v>Union</v>
      </c>
      <c r="CO481" s="141"/>
      <c r="CP481" s="141"/>
      <c r="CQ481" s="141" t="str">
        <f>ß14</f>
        <v>Stuttgart</v>
      </c>
      <c r="CR481" s="141"/>
      <c r="CS481" s="141"/>
      <c r="CT481" s="141" t="str">
        <f>ß15</f>
        <v>St. Pauli</v>
      </c>
      <c r="CU481" s="141"/>
      <c r="CV481" s="141"/>
      <c r="CW481" s="141" t="str">
        <f>ß16</f>
        <v>Dortmund</v>
      </c>
      <c r="CX481" s="141"/>
      <c r="CY481" s="141"/>
      <c r="CZ481" s="141" t="str">
        <f>ß17</f>
        <v>Heidenheim</v>
      </c>
      <c r="DA481" s="141"/>
      <c r="DB481" s="141"/>
      <c r="DC481" s="141" t="str">
        <f>ß18</f>
        <v>Wolfsburg</v>
      </c>
      <c r="DD481" s="141"/>
      <c r="DE481" s="141"/>
    </row>
    <row r="482" spans="3:122" ht="11.25" customHeight="1" x14ac:dyDescent="0.2">
      <c r="C482" s="16" t="str">
        <f>Mannschaften!F33</f>
        <v>33. Spieltag</v>
      </c>
      <c r="D482" s="11"/>
      <c r="E482" s="96" t="str">
        <f>Mannschaften!G33</f>
        <v>8.-10.5.26</v>
      </c>
      <c r="I482" s="19">
        <f>RANK(Rang!A33,Rang!A33:G33)</f>
        <v>1</v>
      </c>
      <c r="J482" s="20">
        <f>RANK(Rang!H33,Rang!H33:N33)</f>
        <v>1</v>
      </c>
      <c r="K482" s="19">
        <f>RANK(Rang!B33,Rang!A33:G33)</f>
        <v>1</v>
      </c>
      <c r="L482" s="20">
        <f>RANK(Rang!I33,Rang!H33:N33)</f>
        <v>1</v>
      </c>
      <c r="M482" s="19">
        <f>RANK(Rang!C33,Rang!A33:G33)</f>
        <v>1</v>
      </c>
      <c r="N482" s="20">
        <f>RANK(Rang!J33,Rang!H33:N33)</f>
        <v>1</v>
      </c>
      <c r="O482" s="19">
        <f>RANK(Rang!D33,Rang!A33:G33)</f>
        <v>1</v>
      </c>
      <c r="P482" s="20">
        <f>RANK(Rang!K33,Rang!H33:N33)</f>
        <v>1</v>
      </c>
      <c r="Q482" s="19">
        <f>RANK(Rang!E33,Rang!A33:G33)</f>
        <v>1</v>
      </c>
      <c r="R482" s="20">
        <f>RANK(Rang!L33,Rang!H33:N33)</f>
        <v>1</v>
      </c>
      <c r="S482" s="19">
        <f>RANK(Rang!F33,Rang!A33:G33)</f>
        <v>1</v>
      </c>
      <c r="T482" s="20">
        <f>RANK(Rang!M33,Rang!H33:N33)</f>
        <v>1</v>
      </c>
      <c r="U482" s="19">
        <f>RANK(Rang!G33,Rang!A33:G33)</f>
        <v>1</v>
      </c>
      <c r="V482" s="20">
        <f>RANK(Rang!N33,Rang!H33:N33)</f>
        <v>1</v>
      </c>
      <c r="AF482" s="22"/>
      <c r="AG482" s="22"/>
      <c r="AH482" s="22"/>
      <c r="AI482" s="22"/>
      <c r="AJ482" s="22"/>
      <c r="AK482" s="21"/>
      <c r="AL482" s="21"/>
      <c r="AM482" s="21"/>
      <c r="AN482" s="21"/>
      <c r="AO482" s="21"/>
      <c r="AP482" s="21"/>
      <c r="AQ482" s="21"/>
      <c r="AR482" s="21"/>
      <c r="AS482" s="24"/>
      <c r="AT482" s="21"/>
      <c r="AU482" s="21"/>
      <c r="AV482" s="21"/>
      <c r="AW482" s="21"/>
      <c r="AX482" s="21"/>
      <c r="AY482" s="21"/>
      <c r="AZ482" s="21"/>
      <c r="BA482" s="21"/>
      <c r="BB482" s="21"/>
      <c r="BD482" s="25" t="s">
        <v>4</v>
      </c>
      <c r="BE482" s="25" t="s">
        <v>5</v>
      </c>
      <c r="BF482" s="26" t="s">
        <v>6</v>
      </c>
      <c r="BG482" s="27" t="s">
        <v>4</v>
      </c>
      <c r="BH482" s="25" t="s">
        <v>5</v>
      </c>
      <c r="BI482" s="26" t="s">
        <v>6</v>
      </c>
      <c r="BJ482" s="27" t="s">
        <v>4</v>
      </c>
      <c r="BK482" s="25" t="s">
        <v>5</v>
      </c>
      <c r="BL482" s="26" t="s">
        <v>6</v>
      </c>
      <c r="BM482" s="27" t="s">
        <v>4</v>
      </c>
      <c r="BN482" s="25" t="s">
        <v>5</v>
      </c>
      <c r="BO482" s="26" t="s">
        <v>6</v>
      </c>
      <c r="BP482" s="27" t="s">
        <v>4</v>
      </c>
      <c r="BQ482" s="25" t="s">
        <v>5</v>
      </c>
      <c r="BR482" s="26" t="s">
        <v>6</v>
      </c>
      <c r="BS482" s="27" t="s">
        <v>4</v>
      </c>
      <c r="BT482" s="25" t="s">
        <v>5</v>
      </c>
      <c r="BU482" s="26" t="s">
        <v>6</v>
      </c>
      <c r="BV482" s="27" t="s">
        <v>4</v>
      </c>
      <c r="BW482" s="25" t="s">
        <v>5</v>
      </c>
      <c r="BX482" s="26" t="s">
        <v>6</v>
      </c>
      <c r="BY482" s="27" t="s">
        <v>4</v>
      </c>
      <c r="BZ482" s="25" t="s">
        <v>5</v>
      </c>
      <c r="CA482" s="26" t="s">
        <v>6</v>
      </c>
      <c r="CB482" s="27" t="s">
        <v>4</v>
      </c>
      <c r="CC482" s="25" t="s">
        <v>5</v>
      </c>
      <c r="CD482" s="26" t="s">
        <v>6</v>
      </c>
      <c r="CE482" s="27" t="s">
        <v>4</v>
      </c>
      <c r="CF482" s="25" t="s">
        <v>5</v>
      </c>
      <c r="CG482" s="26" t="s">
        <v>6</v>
      </c>
      <c r="CH482" s="27" t="s">
        <v>4</v>
      </c>
      <c r="CI482" s="25" t="s">
        <v>5</v>
      </c>
      <c r="CJ482" s="26" t="s">
        <v>6</v>
      </c>
      <c r="CK482" s="27" t="s">
        <v>4</v>
      </c>
      <c r="CL482" s="25" t="s">
        <v>5</v>
      </c>
      <c r="CM482" s="26" t="s">
        <v>6</v>
      </c>
      <c r="CN482" s="27" t="s">
        <v>4</v>
      </c>
      <c r="CO482" s="25" t="s">
        <v>5</v>
      </c>
      <c r="CP482" s="26" t="s">
        <v>6</v>
      </c>
      <c r="CQ482" s="27" t="s">
        <v>4</v>
      </c>
      <c r="CR482" s="25" t="s">
        <v>5</v>
      </c>
      <c r="CS482" s="26" t="s">
        <v>6</v>
      </c>
      <c r="CT482" s="27" t="s">
        <v>4</v>
      </c>
      <c r="CU482" s="25" t="s">
        <v>5</v>
      </c>
      <c r="CV482" s="26" t="s">
        <v>6</v>
      </c>
      <c r="CW482" s="27" t="s">
        <v>4</v>
      </c>
      <c r="CX482" s="25" t="s">
        <v>5</v>
      </c>
      <c r="CY482" s="26" t="s">
        <v>6</v>
      </c>
      <c r="CZ482" s="27" t="s">
        <v>4</v>
      </c>
      <c r="DA482" s="25" t="s">
        <v>5</v>
      </c>
      <c r="DB482" s="26" t="s">
        <v>6</v>
      </c>
      <c r="DC482" s="27" t="s">
        <v>4</v>
      </c>
      <c r="DD482" s="25" t="s">
        <v>5</v>
      </c>
      <c r="DE482" s="26" t="s">
        <v>6</v>
      </c>
      <c r="DF482" s="21"/>
      <c r="DG482" s="21"/>
      <c r="DH482" s="21"/>
      <c r="DN482" s="136" t="s">
        <v>7</v>
      </c>
      <c r="DO482" s="136"/>
      <c r="DP482" s="136" t="s">
        <v>8</v>
      </c>
      <c r="DQ482" s="136"/>
      <c r="DR482" s="28"/>
    </row>
    <row r="483" spans="3:122" ht="11.25" customHeight="1" x14ac:dyDescent="0.2">
      <c r="C483" s="2" t="str">
        <f t="shared" ref="C483:C491" si="483">E228</f>
        <v>Wolfsburg</v>
      </c>
      <c r="D483" s="3" t="s">
        <v>11</v>
      </c>
      <c r="E483" s="2" t="str">
        <f t="shared" ref="E483:E491" si="484">C228</f>
        <v>Bayern</v>
      </c>
      <c r="F483" s="29"/>
      <c r="G483" s="3" t="s">
        <v>12</v>
      </c>
      <c r="H483" s="30"/>
      <c r="I483" s="31"/>
      <c r="J483" s="32" t="str">
        <f t="shared" ref="J483:J491" si="485">IF($F483="","",(IF(I483="","",IF(I483=$DG483,(VLOOKUP($DH483,$DJ$3:$DK$11,2,FALSE())),0))))</f>
        <v/>
      </c>
      <c r="K483" s="33"/>
      <c r="L483" s="32" t="str">
        <f t="shared" ref="L483:L491" si="486">IF($F483="","",(IF(K483="","",IF(K483=$DG483,(VLOOKUP($DH483,$DJ$3:$DK$11,2,FALSE())),0))))</f>
        <v/>
      </c>
      <c r="M483" s="31"/>
      <c r="N483" s="32" t="str">
        <f t="shared" ref="N483:N491" si="487">IF($F483="","",(IF(M483="","",IF(M483=$DG483,(VLOOKUP($DH483,$DJ$3:$DK$11,2,FALSE())),0))))</f>
        <v/>
      </c>
      <c r="O483" s="31"/>
      <c r="P483" s="32" t="str">
        <f t="shared" ref="P483:P491" si="488">IF($F483="","",(IF(O483="","",IF(O483=$DG483,(VLOOKUP($DH483,$DJ$3:$DK$11,2,FALSE())),0))))</f>
        <v/>
      </c>
      <c r="Q483" s="31"/>
      <c r="R483" s="32" t="str">
        <f t="shared" ref="R483:R491" si="489">IF($F483="","",(IF(Q483="","",IF(Q483=$DG483,(VLOOKUP($DH483,$DJ$3:$DK$11,2,FALSE())),0))))</f>
        <v/>
      </c>
      <c r="S483" s="31"/>
      <c r="T483" s="32" t="str">
        <f t="shared" ref="T483:T491" si="490">IF($F483="","",(IF(S483="","",IF(S483=$DG483,(VLOOKUP($DH483,$DJ$3:$DK$11,2,FALSE())),0))))</f>
        <v/>
      </c>
      <c r="U483" s="31"/>
      <c r="V483" s="32" t="str">
        <f t="shared" ref="V483:V491" si="491">IF($F483="","",(IF(U483="","",IF(U483=$DG483,(VLOOKUP($DH483,$DJ$3:$DK$11,2,FALSE())),0))))</f>
        <v/>
      </c>
      <c r="AF483" s="34"/>
      <c r="AG483" s="34"/>
      <c r="AH483" s="34"/>
      <c r="AI483" s="34"/>
      <c r="AJ483" s="34"/>
      <c r="AN483" s="5"/>
      <c r="AO483" s="5"/>
      <c r="AP483" s="5"/>
      <c r="AQ483" s="5"/>
      <c r="AR483" s="5"/>
      <c r="AS483" s="13"/>
      <c r="AT483" s="5"/>
      <c r="AU483" s="5"/>
      <c r="AV483" s="5"/>
      <c r="AW483" s="5"/>
      <c r="AX483" s="5"/>
      <c r="AY483" s="5"/>
      <c r="BC483" s="6">
        <v>482</v>
      </c>
      <c r="BD483" s="35" t="str">
        <f>IF(ISERROR(MATCH(ß01,$C483:$C491,0)),"",MATCH(ß01,$C483:$C491,0))</f>
        <v/>
      </c>
      <c r="BE483" s="35">
        <f>IF(ISERROR(MATCH(ß01,$E483:$E491,0)),"",MATCH(ß01,$E483:$E491,0))</f>
        <v>1</v>
      </c>
      <c r="BF483" s="15">
        <f>SUM(BD483:BE483)+BC483</f>
        <v>483</v>
      </c>
      <c r="BG483" s="36">
        <f>IF(ISERROR(MATCH(ß02,$C483:$C491,0)),"",MATCH(ß02,$C483:$C491,0))</f>
        <v>8</v>
      </c>
      <c r="BH483" s="35" t="str">
        <f>IF(ISERROR(MATCH(ß02,$E483:$E491,0)),"",MATCH(ß02,$E483:$E491,0))</f>
        <v/>
      </c>
      <c r="BI483" s="15">
        <f>SUM(BG483:BH483)+BC483</f>
        <v>490</v>
      </c>
      <c r="BJ483" s="36" t="str">
        <f>IF(ISERROR(MATCH(ß03,$C483:$C491,0)),"",MATCH(ß03,$C483:$C491,0))</f>
        <v/>
      </c>
      <c r="BK483" s="35">
        <f>IF(ISERROR(MATCH(ß03,$E483:$E491,0)),"",MATCH(ß03,$E483:$E491,0))</f>
        <v>2</v>
      </c>
      <c r="BL483" s="15">
        <f>SUM(BJ483:BK483)+BC483</f>
        <v>484</v>
      </c>
      <c r="BM483" s="36">
        <f>IF(ISERROR(MATCH(ß04,$C483:$C491,0)),"",MATCH(ß04,$C483:$C491,0))</f>
        <v>5</v>
      </c>
      <c r="BN483" s="35" t="str">
        <f>IF(ISERROR(MATCH(ß04,$E483:$E491,0)),"",MATCH(ß04,$E483:$E491,0))</f>
        <v/>
      </c>
      <c r="BO483" s="15">
        <f>SUM(BM483:BN483)+BC483</f>
        <v>487</v>
      </c>
      <c r="BP483" s="36" t="str">
        <f>IF(ISERROR(MATCH(ß05,$C483:$C491,0)),"",MATCH(ß05,$C483:$C491,0))</f>
        <v/>
      </c>
      <c r="BQ483" s="35">
        <f>IF(ISERROR(MATCH(ß05,$E483:$E491,0)),"",MATCH(ß05,$E483:$E491,0))</f>
        <v>3</v>
      </c>
      <c r="BR483" s="15">
        <f>SUM(BP483:BQ483)+BC483</f>
        <v>485</v>
      </c>
      <c r="BS483" s="36" t="str">
        <f>IF(ISERROR(MATCH(ß06,$C483:$C491,0)),"",MATCH(ß06,$C483:$C491,0))</f>
        <v/>
      </c>
      <c r="BT483" s="35">
        <f>IF(ISERROR(MATCH(ß06,$E483:$E491,0)),"",MATCH(ß06,$E483:$E491,0))</f>
        <v>5</v>
      </c>
      <c r="BU483" s="15">
        <f>SUM(BS483:BT483)+BC483</f>
        <v>487</v>
      </c>
      <c r="BV483" s="36" t="str">
        <f>IF(ISERROR(MATCH(ß07,$C483:$C491,0)),"",MATCH(ß07,$C483:$C491,0))</f>
        <v/>
      </c>
      <c r="BW483" s="35">
        <f>IF(ISERROR(MATCH(ß07,$E483:$E491,0)),"",MATCH(ß07,$E483:$E491,0))</f>
        <v>4</v>
      </c>
      <c r="BX483" s="15">
        <f>SUM(BV483:BW483)+BC483</f>
        <v>486</v>
      </c>
      <c r="BY483" s="36">
        <f>IF(ISERROR(MATCH(ß08,$C483:$C491,0)),"",MATCH(ß08,$C483:$C491,0))</f>
        <v>6</v>
      </c>
      <c r="BZ483" s="35" t="str">
        <f>IF(ISERROR(MATCH(ß08,$E483:$E491,0)),"",MATCH(ß08,$E483:$E491,0))</f>
        <v/>
      </c>
      <c r="CA483" s="15">
        <f>SUM(BY483:BZ483)+BC483</f>
        <v>488</v>
      </c>
      <c r="CB483" s="36">
        <f>IF(ISERROR(MATCH(ß09,$C483:$C491,0)),"",MATCH(ß09,$C483:$C491,0))</f>
        <v>7</v>
      </c>
      <c r="CC483" s="35" t="str">
        <f>IF(ISERROR(MATCH(ß09,$E483:$E491,0)),"",MATCH(ß09,$E483:$E491,0))</f>
        <v/>
      </c>
      <c r="CD483" s="15">
        <f>SUM(CB483:CC483)+BC483</f>
        <v>489</v>
      </c>
      <c r="CE483" s="36">
        <f>IF(ISERROR(MATCH(ß10,$C483:$C491,0)),"",MATCH(ß10,$C483:$C491,0))</f>
        <v>9</v>
      </c>
      <c r="CF483" s="35" t="str">
        <f>IF(ISERROR(MATCH(ß10,$E483:$E491,0)),"",MATCH(ß10,$E483:$E491,0))</f>
        <v/>
      </c>
      <c r="CG483" s="15">
        <f>SUM(CE483:CF483)+BC483</f>
        <v>491</v>
      </c>
      <c r="CH483" s="36" t="str">
        <f>IF(ISERROR(MATCH(ß11,$C483:$C491,0)),"",MATCH(ß11,$C483:$C491,0))</f>
        <v/>
      </c>
      <c r="CI483" s="35">
        <f>IF(ISERROR(MATCH(ß11,$E483:$E491,0)),"",MATCH(ß11,$E483:$E491,0))</f>
        <v>6</v>
      </c>
      <c r="CJ483" s="15">
        <f>SUM(CH483:CI483)+BC483</f>
        <v>488</v>
      </c>
      <c r="CK483" s="36">
        <f>IF(ISERROR(MATCH(ß12,$C483:$C491,0)),"",MATCH(ß12,$C483:$C491,0))</f>
        <v>4</v>
      </c>
      <c r="CL483" s="35" t="str">
        <f>IF(ISERROR(MATCH(ß12,$E483:$E491,0)),"",MATCH(ß12,$E483:$E491,0))</f>
        <v/>
      </c>
      <c r="CM483" s="15">
        <f>SUM(CK483:CL483)+BC483</f>
        <v>486</v>
      </c>
      <c r="CN483" s="36" t="str">
        <f>IF(ISERROR(MATCH(ß13,$C483:$C491,0)),"",MATCH(ß13,$C483:$C491,0))</f>
        <v/>
      </c>
      <c r="CO483" s="35">
        <f>IF(ISERROR(MATCH(ß13,$E483:$E491,0)),"",MATCH(ß13,$E483:$E491,0))</f>
        <v>7</v>
      </c>
      <c r="CP483" s="15">
        <f>SUM(CN483:CO483)+BC483</f>
        <v>489</v>
      </c>
      <c r="CQ483" s="36">
        <f>IF(ISERROR(MATCH(ß14,$C483:$C491,0)),"",MATCH(ß14,$C483:$C491,0))</f>
        <v>2</v>
      </c>
      <c r="CR483" s="35" t="str">
        <f>IF(ISERROR(MATCH(ß14,$E483:$E491,0)),"",MATCH(ß14,$E483:$E491,0))</f>
        <v/>
      </c>
      <c r="CS483" s="15">
        <f>SUM(CQ483:CR483)+BC483</f>
        <v>484</v>
      </c>
      <c r="CT483" s="36" t="str">
        <f>IF(ISERROR(MATCH(ß15,$C483:$C491,0)),"",MATCH(ß15,$C483:$C491,0))</f>
        <v/>
      </c>
      <c r="CU483" s="35">
        <f>IF(ISERROR(MATCH(ß15,$E483:$E491,0)),"",MATCH(ß15,$E483:$E491,0))</f>
        <v>8</v>
      </c>
      <c r="CV483" s="15">
        <f>SUM(CT483:CU483)+BC483</f>
        <v>490</v>
      </c>
      <c r="CW483" s="36">
        <f>IF(ISERROR(MATCH(ß16,$C483:$C491,0)),"",MATCH(ß16,$C483:$C491,0))</f>
        <v>3</v>
      </c>
      <c r="CX483" s="35" t="str">
        <f>IF(ISERROR(MATCH(ß16,$E483:$E491,0)),"",MATCH(ß16,$E483:$E491,0))</f>
        <v/>
      </c>
      <c r="CY483" s="15">
        <f>SUM(CW483:CX483)+BC483</f>
        <v>485</v>
      </c>
      <c r="CZ483" s="36" t="str">
        <f>IF(ISERROR(MATCH(ß17,$C483:$C491,0)),"",MATCH(ß17,$C483:$C491,0))</f>
        <v/>
      </c>
      <c r="DA483" s="35">
        <f>IF(ISERROR(MATCH(ß17,$E483:$E491,0)),"",MATCH(ß17,$E483:$E491,0))</f>
        <v>9</v>
      </c>
      <c r="DB483" s="15">
        <f>SUM(CZ483:DA483)+BC483</f>
        <v>491</v>
      </c>
      <c r="DC483" s="36">
        <f>IF(ISERROR(MATCH(ß18,$C483:$C491,0)),"",MATCH(ß18,$C483:$C491,0))</f>
        <v>1</v>
      </c>
      <c r="DD483" s="35" t="str">
        <f>IF(ISERROR(MATCH(ß18,$E483:$E491,0)),"",MATCH(ß18,$E483:$E491,0))</f>
        <v/>
      </c>
      <c r="DE483" s="15">
        <f>SUM(DC483:DD483)+BC483</f>
        <v>483</v>
      </c>
      <c r="DG483" s="8" t="str">
        <f t="shared" ref="DG483:DG491" si="492">IF(F483="","",(IF(F483=H483,0,IF(F483&gt;H483,1,IF(F483&lt;H483,2)))))</f>
        <v/>
      </c>
      <c r="DH483" s="3">
        <f>COUNTIF(I483,DG483)+COUNTIF(K483,DG483)+COUNTIF(M483,DG483)+COUNTIF(O483,DG483)+COUNTIF(Q483,DG483)+COUNTIF(S483,DG483)+COUNTIF(U483,DG483)</f>
        <v>7</v>
      </c>
      <c r="DN483" s="12">
        <f t="shared" ref="DN483:DN491" si="493">F483</f>
        <v>0</v>
      </c>
      <c r="DO483" s="5">
        <f t="shared" ref="DO483:DO491" si="494">H483</f>
        <v>0</v>
      </c>
      <c r="DP483" s="5" t="str">
        <f t="shared" ref="DP483:DP491" si="495">IF($F483="","",IF(DN483&gt;DO483,3,IF(DN483&lt;DO483,0,1)))</f>
        <v/>
      </c>
      <c r="DQ483" s="5" t="str">
        <f t="shared" ref="DQ483:DQ491" si="496">IF($H483="","",IF(DO483&gt;DN483,3,IF(DO483&lt;DN483,0,1)))</f>
        <v/>
      </c>
      <c r="DR483" s="5">
        <f t="shared" ref="DR483:DR491" si="497">IF(ISBLANK(F483),0,1)</f>
        <v>0</v>
      </c>
    </row>
    <row r="484" spans="3:122" ht="11.25" customHeight="1" x14ac:dyDescent="0.2">
      <c r="C484" s="2" t="str">
        <f t="shared" si="483"/>
        <v>Stuttgart</v>
      </c>
      <c r="D484" s="3" t="s">
        <v>11</v>
      </c>
      <c r="E484" s="2" t="str">
        <f t="shared" si="484"/>
        <v>Leverk.</v>
      </c>
      <c r="F484" s="29"/>
      <c r="G484" s="3" t="s">
        <v>12</v>
      </c>
      <c r="H484" s="30"/>
      <c r="I484" s="37"/>
      <c r="J484" s="38" t="str">
        <f t="shared" si="485"/>
        <v/>
      </c>
      <c r="K484" s="33"/>
      <c r="L484" s="38" t="str">
        <f t="shared" si="486"/>
        <v/>
      </c>
      <c r="M484" s="37"/>
      <c r="N484" s="38" t="str">
        <f t="shared" si="487"/>
        <v/>
      </c>
      <c r="O484" s="37"/>
      <c r="P484" s="38" t="str">
        <f t="shared" si="488"/>
        <v/>
      </c>
      <c r="Q484" s="37"/>
      <c r="R484" s="38" t="str">
        <f t="shared" si="489"/>
        <v/>
      </c>
      <c r="S484" s="37"/>
      <c r="T484" s="38" t="str">
        <f t="shared" si="490"/>
        <v/>
      </c>
      <c r="U484" s="37"/>
      <c r="V484" s="38" t="str">
        <f t="shared" si="491"/>
        <v/>
      </c>
      <c r="AF484" s="34"/>
      <c r="AG484" s="34"/>
      <c r="AH484" s="34"/>
      <c r="AI484" s="34"/>
      <c r="AJ484" s="34"/>
      <c r="DG484" s="8" t="str">
        <f t="shared" si="492"/>
        <v/>
      </c>
      <c r="DH484" s="3">
        <f t="shared" ref="DH484:DH491" si="498">COUNTIF(I484,DG484)+COUNTIF(K484,DG484)+COUNTIF(M484,DG484)+COUNTIF(O484,DG484)+COUNTIF(Q484,DG484)+COUNTIF(S484,DG484)+COUNTIF(U484,DG484)</f>
        <v>7</v>
      </c>
      <c r="DN484" s="12">
        <f t="shared" si="493"/>
        <v>0</v>
      </c>
      <c r="DO484" s="5">
        <f t="shared" si="494"/>
        <v>0</v>
      </c>
      <c r="DP484" s="5" t="str">
        <f t="shared" si="495"/>
        <v/>
      </c>
      <c r="DQ484" s="5" t="str">
        <f t="shared" si="496"/>
        <v/>
      </c>
      <c r="DR484" s="5">
        <f t="shared" si="497"/>
        <v>0</v>
      </c>
    </row>
    <row r="485" spans="3:122" ht="11.25" customHeight="1" x14ac:dyDescent="0.2">
      <c r="C485" s="2" t="str">
        <f t="shared" si="483"/>
        <v>Dortmund</v>
      </c>
      <c r="D485" s="3" t="s">
        <v>11</v>
      </c>
      <c r="E485" s="2" t="str">
        <f t="shared" si="484"/>
        <v>Frankfurt</v>
      </c>
      <c r="F485" s="29"/>
      <c r="G485" s="3" t="s">
        <v>12</v>
      </c>
      <c r="H485" s="30"/>
      <c r="I485" s="37"/>
      <c r="J485" s="38" t="str">
        <f t="shared" si="485"/>
        <v/>
      </c>
      <c r="K485" s="33"/>
      <c r="L485" s="38" t="str">
        <f t="shared" si="486"/>
        <v/>
      </c>
      <c r="M485" s="37"/>
      <c r="N485" s="38" t="str">
        <f t="shared" si="487"/>
        <v/>
      </c>
      <c r="O485" s="37"/>
      <c r="P485" s="38" t="str">
        <f t="shared" si="488"/>
        <v/>
      </c>
      <c r="Q485" s="37"/>
      <c r="R485" s="38" t="str">
        <f t="shared" si="489"/>
        <v/>
      </c>
      <c r="S485" s="37"/>
      <c r="T485" s="38" t="str">
        <f t="shared" si="490"/>
        <v/>
      </c>
      <c r="U485" s="37"/>
      <c r="V485" s="38" t="str">
        <f t="shared" si="491"/>
        <v/>
      </c>
      <c r="AF485" s="34"/>
      <c r="AG485" s="34"/>
      <c r="AH485" s="34"/>
      <c r="AI485" s="34"/>
      <c r="AJ485" s="34"/>
      <c r="DG485" s="8" t="str">
        <f t="shared" si="492"/>
        <v/>
      </c>
      <c r="DH485" s="3">
        <f t="shared" si="498"/>
        <v>7</v>
      </c>
      <c r="DN485" s="12">
        <f t="shared" si="493"/>
        <v>0</v>
      </c>
      <c r="DO485" s="5">
        <f t="shared" si="494"/>
        <v>0</v>
      </c>
      <c r="DP485" s="5" t="str">
        <f t="shared" si="495"/>
        <v/>
      </c>
      <c r="DQ485" s="5" t="str">
        <f t="shared" si="496"/>
        <v/>
      </c>
      <c r="DR485" s="5">
        <f t="shared" si="497"/>
        <v>0</v>
      </c>
    </row>
    <row r="486" spans="3:122" ht="11.25" customHeight="1" x14ac:dyDescent="0.2">
      <c r="C486" s="2" t="str">
        <f t="shared" si="483"/>
        <v>HSV</v>
      </c>
      <c r="D486" s="3" t="s">
        <v>11</v>
      </c>
      <c r="E486" s="2" t="str">
        <f t="shared" si="484"/>
        <v>Freiburg</v>
      </c>
      <c r="F486" s="29"/>
      <c r="G486" s="3" t="s">
        <v>12</v>
      </c>
      <c r="H486" s="30"/>
      <c r="I486" s="37"/>
      <c r="J486" s="38" t="str">
        <f t="shared" si="485"/>
        <v/>
      </c>
      <c r="K486" s="33"/>
      <c r="L486" s="38" t="str">
        <f t="shared" si="486"/>
        <v/>
      </c>
      <c r="M486" s="37"/>
      <c r="N486" s="38" t="str">
        <f t="shared" si="487"/>
        <v/>
      </c>
      <c r="O486" s="37"/>
      <c r="P486" s="38" t="str">
        <f t="shared" si="488"/>
        <v/>
      </c>
      <c r="Q486" s="37"/>
      <c r="R486" s="38" t="str">
        <f t="shared" si="489"/>
        <v/>
      </c>
      <c r="S486" s="37"/>
      <c r="T486" s="38" t="str">
        <f t="shared" si="490"/>
        <v/>
      </c>
      <c r="U486" s="37"/>
      <c r="V486" s="38" t="str">
        <f t="shared" si="491"/>
        <v/>
      </c>
      <c r="AF486" s="34"/>
      <c r="AG486" s="34"/>
      <c r="AH486" s="34"/>
      <c r="AI486" s="34"/>
      <c r="AJ486" s="34"/>
      <c r="DG486" s="8" t="str">
        <f t="shared" si="492"/>
        <v/>
      </c>
      <c r="DH486" s="3">
        <f t="shared" si="498"/>
        <v>7</v>
      </c>
      <c r="DN486" s="12">
        <f t="shared" si="493"/>
        <v>0</v>
      </c>
      <c r="DO486" s="5">
        <f t="shared" si="494"/>
        <v>0</v>
      </c>
      <c r="DP486" s="5" t="str">
        <f t="shared" si="495"/>
        <v/>
      </c>
      <c r="DQ486" s="5" t="str">
        <f t="shared" si="496"/>
        <v/>
      </c>
      <c r="DR486" s="5">
        <f t="shared" si="497"/>
        <v>0</v>
      </c>
    </row>
    <row r="487" spans="3:122" ht="11.25" customHeight="1" x14ac:dyDescent="0.2">
      <c r="C487" s="2" t="str">
        <f t="shared" si="483"/>
        <v>Hoffenheim</v>
      </c>
      <c r="D487" s="3" t="s">
        <v>11</v>
      </c>
      <c r="E487" s="2" t="str">
        <f t="shared" si="484"/>
        <v>Werder</v>
      </c>
      <c r="F487" s="29"/>
      <c r="G487" s="3" t="s">
        <v>12</v>
      </c>
      <c r="H487" s="30"/>
      <c r="I487" s="37"/>
      <c r="J487" s="38" t="str">
        <f t="shared" si="485"/>
        <v/>
      </c>
      <c r="K487" s="33"/>
      <c r="L487" s="38" t="str">
        <f t="shared" si="486"/>
        <v/>
      </c>
      <c r="M487" s="37"/>
      <c r="N487" s="38" t="str">
        <f t="shared" si="487"/>
        <v/>
      </c>
      <c r="O487" s="37"/>
      <c r="P487" s="38" t="str">
        <f t="shared" si="488"/>
        <v/>
      </c>
      <c r="Q487" s="37"/>
      <c r="R487" s="38" t="str">
        <f t="shared" si="489"/>
        <v/>
      </c>
      <c r="S487" s="37"/>
      <c r="T487" s="38" t="str">
        <f t="shared" si="490"/>
        <v/>
      </c>
      <c r="U487" s="37"/>
      <c r="V487" s="38" t="str">
        <f t="shared" si="491"/>
        <v/>
      </c>
      <c r="AF487" s="34"/>
      <c r="AG487" s="34"/>
      <c r="AH487" s="34"/>
      <c r="AI487" s="34"/>
      <c r="AJ487" s="34"/>
      <c r="DG487" s="8" t="str">
        <f t="shared" si="492"/>
        <v/>
      </c>
      <c r="DH487" s="3">
        <f t="shared" si="498"/>
        <v>7</v>
      </c>
      <c r="DN487" s="12">
        <f t="shared" si="493"/>
        <v>0</v>
      </c>
      <c r="DO487" s="5">
        <f t="shared" si="494"/>
        <v>0</v>
      </c>
      <c r="DP487" s="5" t="str">
        <f t="shared" si="495"/>
        <v/>
      </c>
      <c r="DQ487" s="5" t="str">
        <f t="shared" si="496"/>
        <v/>
      </c>
      <c r="DR487" s="5">
        <f t="shared" si="497"/>
        <v>0</v>
      </c>
    </row>
    <row r="488" spans="3:122" ht="11.25" customHeight="1" x14ac:dyDescent="0.2">
      <c r="C488" s="2" t="str">
        <f t="shared" si="483"/>
        <v>Augsburg</v>
      </c>
      <c r="D488" s="3" t="s">
        <v>11</v>
      </c>
      <c r="E488" s="2" t="str">
        <f t="shared" si="484"/>
        <v>M'gladb.</v>
      </c>
      <c r="F488" s="29"/>
      <c r="G488" s="3" t="s">
        <v>12</v>
      </c>
      <c r="H488" s="30"/>
      <c r="I488" s="37"/>
      <c r="J488" s="38" t="str">
        <f t="shared" si="485"/>
        <v/>
      </c>
      <c r="K488" s="33"/>
      <c r="L488" s="38" t="str">
        <f t="shared" si="486"/>
        <v/>
      </c>
      <c r="M488" s="37"/>
      <c r="N488" s="38" t="str">
        <f t="shared" si="487"/>
        <v/>
      </c>
      <c r="O488" s="37"/>
      <c r="P488" s="38" t="str">
        <f t="shared" si="488"/>
        <v/>
      </c>
      <c r="Q488" s="37"/>
      <c r="R488" s="38" t="str">
        <f t="shared" si="489"/>
        <v/>
      </c>
      <c r="S488" s="37"/>
      <c r="T488" s="38" t="str">
        <f t="shared" si="490"/>
        <v/>
      </c>
      <c r="U488" s="37"/>
      <c r="V488" s="38" t="str">
        <f t="shared" si="491"/>
        <v/>
      </c>
      <c r="AF488" s="34"/>
      <c r="AG488" s="34"/>
      <c r="AH488" s="34"/>
      <c r="AI488" s="34"/>
      <c r="AJ488" s="34"/>
      <c r="DG488" s="8" t="str">
        <f t="shared" si="492"/>
        <v/>
      </c>
      <c r="DH488" s="3">
        <f t="shared" si="498"/>
        <v>7</v>
      </c>
      <c r="DN488" s="12">
        <f t="shared" si="493"/>
        <v>0</v>
      </c>
      <c r="DO488" s="5">
        <f t="shared" si="494"/>
        <v>0</v>
      </c>
      <c r="DP488" s="5" t="str">
        <f t="shared" si="495"/>
        <v/>
      </c>
      <c r="DQ488" s="5" t="str">
        <f t="shared" si="496"/>
        <v/>
      </c>
      <c r="DR488" s="5">
        <f t="shared" si="497"/>
        <v>0</v>
      </c>
    </row>
    <row r="489" spans="3:122" ht="11.25" customHeight="1" x14ac:dyDescent="0.2">
      <c r="C489" s="2" t="str">
        <f t="shared" si="483"/>
        <v>Mainz</v>
      </c>
      <c r="D489" s="3" t="s">
        <v>11</v>
      </c>
      <c r="E489" s="2" t="str">
        <f t="shared" si="484"/>
        <v>Union</v>
      </c>
      <c r="F489" s="29"/>
      <c r="G489" s="3" t="s">
        <v>12</v>
      </c>
      <c r="H489" s="30"/>
      <c r="I489" s="37"/>
      <c r="J489" s="38" t="str">
        <f t="shared" si="485"/>
        <v/>
      </c>
      <c r="K489" s="33"/>
      <c r="L489" s="38" t="str">
        <f t="shared" si="486"/>
        <v/>
      </c>
      <c r="M489" s="37"/>
      <c r="N489" s="38" t="str">
        <f t="shared" si="487"/>
        <v/>
      </c>
      <c r="O489" s="37"/>
      <c r="P489" s="38" t="str">
        <f t="shared" si="488"/>
        <v/>
      </c>
      <c r="Q489" s="37"/>
      <c r="R489" s="38" t="str">
        <f t="shared" si="489"/>
        <v/>
      </c>
      <c r="S489" s="37"/>
      <c r="T489" s="38" t="str">
        <f t="shared" si="490"/>
        <v/>
      </c>
      <c r="U489" s="37"/>
      <c r="V489" s="38" t="str">
        <f t="shared" si="491"/>
        <v/>
      </c>
      <c r="AF489" s="34"/>
      <c r="AG489" s="34"/>
      <c r="AH489" s="34"/>
      <c r="AI489" s="34"/>
      <c r="AJ489" s="34"/>
      <c r="DG489" s="8" t="str">
        <f t="shared" si="492"/>
        <v/>
      </c>
      <c r="DH489" s="3">
        <f t="shared" si="498"/>
        <v>7</v>
      </c>
      <c r="DN489" s="12">
        <f t="shared" si="493"/>
        <v>0</v>
      </c>
      <c r="DO489" s="5">
        <f t="shared" si="494"/>
        <v>0</v>
      </c>
      <c r="DP489" s="5" t="str">
        <f t="shared" si="495"/>
        <v/>
      </c>
      <c r="DQ489" s="5" t="str">
        <f t="shared" si="496"/>
        <v/>
      </c>
      <c r="DR489" s="5">
        <f t="shared" si="497"/>
        <v>0</v>
      </c>
    </row>
    <row r="490" spans="3:122" ht="11.25" customHeight="1" x14ac:dyDescent="0.2">
      <c r="C490" s="2" t="str">
        <f t="shared" si="483"/>
        <v>Leipzig</v>
      </c>
      <c r="D490" s="3" t="s">
        <v>11</v>
      </c>
      <c r="E490" s="2" t="str">
        <f t="shared" si="484"/>
        <v>St. Pauli</v>
      </c>
      <c r="F490" s="29"/>
      <c r="G490" s="3" t="s">
        <v>12</v>
      </c>
      <c r="H490" s="30"/>
      <c r="I490" s="37"/>
      <c r="J490" s="38" t="str">
        <f t="shared" si="485"/>
        <v/>
      </c>
      <c r="K490" s="33"/>
      <c r="L490" s="38" t="str">
        <f t="shared" si="486"/>
        <v/>
      </c>
      <c r="M490" s="37"/>
      <c r="N490" s="38" t="str">
        <f t="shared" si="487"/>
        <v/>
      </c>
      <c r="O490" s="37"/>
      <c r="P490" s="38" t="str">
        <f t="shared" si="488"/>
        <v/>
      </c>
      <c r="Q490" s="37"/>
      <c r="R490" s="38" t="str">
        <f t="shared" si="489"/>
        <v/>
      </c>
      <c r="S490" s="37"/>
      <c r="T490" s="38" t="str">
        <f t="shared" si="490"/>
        <v/>
      </c>
      <c r="U490" s="37"/>
      <c r="V490" s="38" t="str">
        <f t="shared" si="491"/>
        <v/>
      </c>
      <c r="AF490" s="34"/>
      <c r="AG490" s="34"/>
      <c r="AH490" s="34"/>
      <c r="AI490" s="34"/>
      <c r="AJ490" s="34"/>
      <c r="DG490" s="8" t="str">
        <f t="shared" si="492"/>
        <v/>
      </c>
      <c r="DH490" s="3">
        <f t="shared" si="498"/>
        <v>7</v>
      </c>
      <c r="DN490" s="12">
        <f t="shared" si="493"/>
        <v>0</v>
      </c>
      <c r="DO490" s="5">
        <f t="shared" si="494"/>
        <v>0</v>
      </c>
      <c r="DP490" s="5" t="str">
        <f t="shared" si="495"/>
        <v/>
      </c>
      <c r="DQ490" s="5" t="str">
        <f t="shared" si="496"/>
        <v/>
      </c>
      <c r="DR490" s="5">
        <f t="shared" si="497"/>
        <v>0</v>
      </c>
    </row>
    <row r="491" spans="3:122" ht="11.25" customHeight="1" thickBot="1" x14ac:dyDescent="0.25">
      <c r="C491" s="2" t="str">
        <f t="shared" si="483"/>
        <v>Köln</v>
      </c>
      <c r="D491" s="3" t="s">
        <v>11</v>
      </c>
      <c r="E491" s="2" t="str">
        <f t="shared" si="484"/>
        <v>Heidenheim</v>
      </c>
      <c r="F491" s="29"/>
      <c r="G491" s="3" t="s">
        <v>12</v>
      </c>
      <c r="H491" s="30"/>
      <c r="I491" s="37"/>
      <c r="J491" s="38" t="str">
        <f t="shared" si="485"/>
        <v/>
      </c>
      <c r="K491" s="33"/>
      <c r="L491" s="38" t="str">
        <f t="shared" si="486"/>
        <v/>
      </c>
      <c r="M491" s="37"/>
      <c r="N491" s="38" t="str">
        <f t="shared" si="487"/>
        <v/>
      </c>
      <c r="O491" s="37"/>
      <c r="P491" s="38" t="str">
        <f t="shared" si="488"/>
        <v/>
      </c>
      <c r="Q491" s="37"/>
      <c r="R491" s="38" t="str">
        <f t="shared" si="489"/>
        <v/>
      </c>
      <c r="S491" s="37"/>
      <c r="T491" s="38" t="str">
        <f t="shared" si="490"/>
        <v/>
      </c>
      <c r="U491" s="37"/>
      <c r="V491" s="38" t="str">
        <f t="shared" si="491"/>
        <v/>
      </c>
      <c r="AF491" s="34"/>
      <c r="AG491" s="34"/>
      <c r="AH491" s="34"/>
      <c r="AI491" s="34"/>
      <c r="AJ491" s="34"/>
      <c r="DG491" s="8" t="str">
        <f t="shared" si="492"/>
        <v/>
      </c>
      <c r="DH491" s="3">
        <f t="shared" si="498"/>
        <v>7</v>
      </c>
      <c r="DN491" s="12">
        <f t="shared" si="493"/>
        <v>0</v>
      </c>
      <c r="DO491" s="5">
        <f t="shared" si="494"/>
        <v>0</v>
      </c>
      <c r="DP491" s="5" t="str">
        <f t="shared" si="495"/>
        <v/>
      </c>
      <c r="DQ491" s="5" t="str">
        <f t="shared" si="496"/>
        <v/>
      </c>
      <c r="DR491" s="5">
        <f t="shared" si="497"/>
        <v>0</v>
      </c>
    </row>
    <row r="492" spans="3:122" ht="11.25" customHeight="1" thickTop="1" x14ac:dyDescent="0.2">
      <c r="C492" s="41">
        <f>(I492+K492+M492+O492+Q492+S492+U492)</f>
        <v>0</v>
      </c>
      <c r="E492" s="42">
        <f>C492/8</f>
        <v>0</v>
      </c>
      <c r="F492" s="41">
        <f>SUM(F483:F491)</f>
        <v>0</v>
      </c>
      <c r="G492" s="2"/>
      <c r="H492" s="43">
        <f>SUM(H483:H491)</f>
        <v>0</v>
      </c>
      <c r="I492" s="44">
        <f>COUNTIF(J483:J491,"&gt;0")</f>
        <v>0</v>
      </c>
      <c r="J492" s="45">
        <f>I492+J477</f>
        <v>0</v>
      </c>
      <c r="K492" s="44">
        <f>COUNTIF(L483:L491,"&gt;0")</f>
        <v>0</v>
      </c>
      <c r="L492" s="45">
        <f>K492+L477</f>
        <v>0</v>
      </c>
      <c r="M492" s="44">
        <f>COUNTIF(N483:N491,"&gt;0")</f>
        <v>0</v>
      </c>
      <c r="N492" s="45">
        <f>M492+N477</f>
        <v>0</v>
      </c>
      <c r="O492" s="44">
        <f>COUNTIF(P483:P491,"&gt;0")</f>
        <v>0</v>
      </c>
      <c r="P492" s="45">
        <f>O492+P477</f>
        <v>0</v>
      </c>
      <c r="Q492" s="44">
        <f>COUNTIF(R483:R491,"&gt;0")</f>
        <v>0</v>
      </c>
      <c r="R492" s="45">
        <f>Q492+R477</f>
        <v>0</v>
      </c>
      <c r="S492" s="44">
        <f>COUNTIF(T483:T491,"&gt;0")</f>
        <v>0</v>
      </c>
      <c r="T492" s="45">
        <f>S492+T477</f>
        <v>0</v>
      </c>
      <c r="U492" s="44">
        <f>COUNTIF(V483:V491,"&gt;0")</f>
        <v>0</v>
      </c>
      <c r="V492" s="45">
        <f>U492+V477</f>
        <v>0</v>
      </c>
      <c r="AF492" s="34"/>
      <c r="AG492" s="34"/>
      <c r="AH492" s="34"/>
      <c r="AI492" s="34"/>
      <c r="AJ492" s="34"/>
    </row>
    <row r="493" spans="3:122" ht="11.25" customHeight="1" x14ac:dyDescent="0.2">
      <c r="C493" s="41">
        <f>(I493+K493+M493+O493+Q493+S493+U493)</f>
        <v>0</v>
      </c>
      <c r="E493" s="42">
        <f>C493/8</f>
        <v>0</v>
      </c>
      <c r="F493" s="137">
        <f>F492+H492</f>
        <v>0</v>
      </c>
      <c r="G493" s="137"/>
      <c r="H493" s="137"/>
      <c r="I493" s="46">
        <f>SUM(J483:J491)</f>
        <v>0</v>
      </c>
      <c r="J493" s="47">
        <f>I493+J478</f>
        <v>0</v>
      </c>
      <c r="K493" s="46">
        <f>SUM(L483:L491)</f>
        <v>0</v>
      </c>
      <c r="L493" s="47">
        <f>K493+L478</f>
        <v>0</v>
      </c>
      <c r="M493" s="46">
        <f>SUM(N483:N491)</f>
        <v>0</v>
      </c>
      <c r="N493" s="47">
        <f>M493+N478</f>
        <v>0</v>
      </c>
      <c r="O493" s="46">
        <f>SUM(P483:P491)</f>
        <v>0</v>
      </c>
      <c r="P493" s="47">
        <f>O493+P478</f>
        <v>0</v>
      </c>
      <c r="Q493" s="46">
        <f>SUM(R483:R491)</f>
        <v>0</v>
      </c>
      <c r="R493" s="47">
        <f>Q493+R478</f>
        <v>0</v>
      </c>
      <c r="S493" s="46">
        <f>SUM(T483:T491)</f>
        <v>0</v>
      </c>
      <c r="T493" s="47">
        <f>S493+T478</f>
        <v>0</v>
      </c>
      <c r="U493" s="46">
        <f>SUM(V483:V491)</f>
        <v>0</v>
      </c>
      <c r="V493" s="47">
        <f>U493+V478</f>
        <v>0</v>
      </c>
      <c r="AF493" s="34"/>
      <c r="AG493" s="34"/>
      <c r="AH493" s="34"/>
      <c r="AI493" s="34"/>
      <c r="AJ493" s="34"/>
    </row>
    <row r="494" spans="3:122" ht="11.25" customHeight="1" thickBot="1" x14ac:dyDescent="0.25">
      <c r="C494" s="41">
        <f>(I494+K494+M494+O494+Q494+S494+U494)</f>
        <v>0</v>
      </c>
      <c r="E494" s="42">
        <f>C494/8</f>
        <v>0</v>
      </c>
      <c r="F494" s="138">
        <f>F493+F479</f>
        <v>0</v>
      </c>
      <c r="G494" s="138"/>
      <c r="H494" s="138"/>
      <c r="I494" s="48">
        <f>I492*I493</f>
        <v>0</v>
      </c>
      <c r="J494" s="49">
        <f>I494+J479</f>
        <v>0</v>
      </c>
      <c r="K494" s="48">
        <f>K492*K493</f>
        <v>0</v>
      </c>
      <c r="L494" s="49">
        <f>K494+L479</f>
        <v>0</v>
      </c>
      <c r="M494" s="48">
        <f>M492*M493</f>
        <v>0</v>
      </c>
      <c r="N494" s="49">
        <f>M494+N479</f>
        <v>0</v>
      </c>
      <c r="O494" s="48">
        <f>O492*O493</f>
        <v>0</v>
      </c>
      <c r="P494" s="49">
        <f>O494+P479</f>
        <v>0</v>
      </c>
      <c r="Q494" s="48">
        <f>Q492*Q493</f>
        <v>0</v>
      </c>
      <c r="R494" s="49">
        <f>Q494+R479</f>
        <v>0</v>
      </c>
      <c r="S494" s="48">
        <f>S492*S493</f>
        <v>0</v>
      </c>
      <c r="T494" s="49">
        <f>S494+T479</f>
        <v>0</v>
      </c>
      <c r="U494" s="48">
        <f>U492*U493</f>
        <v>0</v>
      </c>
      <c r="V494" s="49">
        <f>U494+V479</f>
        <v>0</v>
      </c>
      <c r="AF494" s="34"/>
      <c r="AG494" s="34"/>
      <c r="AH494" s="34"/>
      <c r="AI494" s="34"/>
      <c r="AJ494" s="34"/>
      <c r="AL494" s="5">
        <f>MAX(I494,K494,M494,O494,Q494,S494,U494)</f>
        <v>0</v>
      </c>
      <c r="AM494" s="5">
        <f>MIN(I494,K494,M494,O494,Q494,S494,U494)</f>
        <v>0</v>
      </c>
      <c r="AN494" s="5"/>
      <c r="AO494" s="5"/>
      <c r="AP494" s="5"/>
      <c r="AQ494" s="5"/>
      <c r="AR494" s="5"/>
      <c r="AS494" s="13"/>
      <c r="AT494" s="5"/>
      <c r="AU494" s="5"/>
      <c r="AV494" s="5"/>
      <c r="AW494" s="5"/>
      <c r="AX494" s="5"/>
      <c r="AY494" s="5"/>
      <c r="AZ494" s="5"/>
      <c r="BA494" s="5"/>
      <c r="BB494" s="5"/>
      <c r="BD494" s="5"/>
      <c r="BE494" s="5"/>
      <c r="BF494" s="14"/>
      <c r="BG494" s="13"/>
      <c r="BH494" s="5"/>
      <c r="BI494" s="14"/>
      <c r="BJ494" s="13"/>
      <c r="BK494" s="5"/>
      <c r="BL494" s="14"/>
      <c r="BM494" s="13"/>
      <c r="BN494" s="5"/>
      <c r="BO494" s="14"/>
      <c r="BP494" s="13"/>
      <c r="BQ494" s="5"/>
      <c r="BR494" s="14"/>
      <c r="BS494" s="13"/>
      <c r="BT494" s="5"/>
      <c r="BU494" s="14"/>
      <c r="BV494" s="13"/>
      <c r="BW494" s="5"/>
      <c r="BX494" s="14"/>
      <c r="BY494" s="13"/>
      <c r="BZ494" s="5"/>
      <c r="CA494" s="14"/>
      <c r="CB494" s="13"/>
      <c r="CC494" s="5"/>
      <c r="CD494" s="14"/>
      <c r="CE494" s="13"/>
      <c r="CF494" s="5"/>
      <c r="CG494" s="14"/>
      <c r="CH494" s="13"/>
      <c r="CI494" s="5"/>
      <c r="CJ494" s="14"/>
      <c r="CK494" s="13"/>
      <c r="CL494" s="5"/>
      <c r="CM494" s="14"/>
      <c r="CN494" s="13"/>
      <c r="CO494" s="5"/>
      <c r="CP494" s="14"/>
      <c r="CQ494" s="13"/>
      <c r="CR494" s="5"/>
      <c r="CS494" s="14"/>
      <c r="CT494" s="13"/>
      <c r="CU494" s="5"/>
      <c r="CV494" s="14"/>
      <c r="CW494" s="13"/>
      <c r="CX494" s="5"/>
      <c r="CY494" s="14"/>
      <c r="CZ494" s="13"/>
      <c r="DA494" s="5"/>
      <c r="DB494" s="14"/>
      <c r="DC494" s="13"/>
      <c r="DD494" s="5"/>
      <c r="DE494" s="14"/>
      <c r="DF494" s="5"/>
      <c r="DG494" s="5"/>
      <c r="DH494" s="5"/>
    </row>
    <row r="495" spans="3:122" ht="11.25" customHeight="1" thickTop="1" x14ac:dyDescent="0.2">
      <c r="I495" s="50"/>
      <c r="J495" s="50">
        <f>L494-J494</f>
        <v>0</v>
      </c>
      <c r="K495" s="50"/>
      <c r="L495" s="50"/>
      <c r="M495" s="50"/>
      <c r="N495" s="50">
        <f>L494-N494</f>
        <v>0</v>
      </c>
      <c r="O495" s="50"/>
      <c r="P495" s="50">
        <f>L494-P494</f>
        <v>0</v>
      </c>
      <c r="Q495" s="50"/>
      <c r="R495" s="50">
        <f>L494-R494</f>
        <v>0</v>
      </c>
      <c r="S495" s="50"/>
      <c r="T495" s="50">
        <f>L494-T494</f>
        <v>0</v>
      </c>
      <c r="U495" s="50"/>
      <c r="V495" s="50">
        <f>L494-V494</f>
        <v>0</v>
      </c>
    </row>
    <row r="496" spans="3:122" ht="11.25" customHeight="1" x14ac:dyDescent="0.2">
      <c r="I496" s="139" t="str">
        <f>ß101</f>
        <v>Kropp</v>
      </c>
      <c r="J496" s="139"/>
      <c r="K496" s="139" t="str">
        <f>ß102</f>
        <v>Nörnberg</v>
      </c>
      <c r="L496" s="139"/>
      <c r="M496" s="139" t="str">
        <f>ß103</f>
        <v>Bübel</v>
      </c>
      <c r="N496" s="139"/>
      <c r="O496" s="139" t="str">
        <f>ß104</f>
        <v>Schwicht.</v>
      </c>
      <c r="P496" s="139"/>
      <c r="Q496" s="139" t="str">
        <f>ß105</f>
        <v>Rontzko.</v>
      </c>
      <c r="R496" s="139"/>
      <c r="S496" s="139" t="str">
        <f>ß106</f>
        <v>Hauschildt</v>
      </c>
      <c r="T496" s="139"/>
      <c r="U496" s="139" t="str">
        <f>ß107</f>
        <v>Zerres</v>
      </c>
      <c r="V496" s="139"/>
      <c r="AF496" s="11"/>
      <c r="AG496" s="11"/>
      <c r="AH496" s="11"/>
      <c r="AI496" s="11"/>
      <c r="AJ496" s="11"/>
      <c r="AL496" s="5" t="str">
        <f>IF($I509=$AL509,I496,"x")</f>
        <v>Kropp</v>
      </c>
      <c r="AM496" s="5" t="str">
        <f>IF($K509=$AL509,K496,"x")</f>
        <v>Nörnberg</v>
      </c>
      <c r="AN496" s="5" t="str">
        <f>IF($M509=$AL509,M496,"x")</f>
        <v>Bübel</v>
      </c>
      <c r="AO496" s="5" t="str">
        <f>IF($O509=$AL509,O496,"x")</f>
        <v>Schwicht.</v>
      </c>
      <c r="AP496" s="5" t="str">
        <f>IF($Q509=$AL509,Q496,"x")</f>
        <v>Rontzko.</v>
      </c>
      <c r="AQ496" s="5" t="str">
        <f>IF($S509=$AL509,S496,"x")</f>
        <v>Hauschildt</v>
      </c>
      <c r="AR496" s="5" t="str">
        <f>IF($U509=$AL509,U496,"x")</f>
        <v>Zerres</v>
      </c>
      <c r="AS496" s="13" t="str">
        <f>IF($I509=$AM509,I496,"x")</f>
        <v>Kropp</v>
      </c>
      <c r="AT496" s="5" t="str">
        <f>IF($K509=$AM509,K496,"x")</f>
        <v>Nörnberg</v>
      </c>
      <c r="AU496" s="5" t="str">
        <f>IF($M509=$AM509,M496,"x")</f>
        <v>Bübel</v>
      </c>
      <c r="AV496" s="5" t="str">
        <f>IF($O509=$AM509,O496,"x")</f>
        <v>Schwicht.</v>
      </c>
      <c r="AW496" s="5" t="str">
        <f>IF($Q509=$AM509,Q496,"x")</f>
        <v>Rontzko.</v>
      </c>
      <c r="AX496" s="5" t="str">
        <f>IF($S509=$AM509,S496,"x")</f>
        <v>Hauschildt</v>
      </c>
      <c r="AY496" s="5" t="str">
        <f>IF($U509=$AM509,U496,"x")</f>
        <v>Zerres</v>
      </c>
      <c r="BD496" s="140" t="str">
        <f>ß01</f>
        <v>Bayern</v>
      </c>
      <c r="BE496" s="140"/>
      <c r="BF496" s="140"/>
      <c r="BG496" s="141" t="str">
        <f>ß02</f>
        <v>Leipzig</v>
      </c>
      <c r="BH496" s="141"/>
      <c r="BI496" s="141"/>
      <c r="BJ496" s="141" t="str">
        <f>ß03</f>
        <v>Leverk.</v>
      </c>
      <c r="BK496" s="141"/>
      <c r="BL496" s="141"/>
      <c r="BM496" s="141" t="str">
        <f>ß04</f>
        <v>Hoffenheim</v>
      </c>
      <c r="BN496" s="141"/>
      <c r="BO496" s="141"/>
      <c r="BP496" s="141" t="str">
        <f>ß05</f>
        <v>Frankfurt</v>
      </c>
      <c r="BQ496" s="141"/>
      <c r="BR496" s="141"/>
      <c r="BS496" s="141" t="str">
        <f>ß06</f>
        <v>Werder</v>
      </c>
      <c r="BT496" s="141"/>
      <c r="BU496" s="141"/>
      <c r="BV496" s="141" t="str">
        <f>ß07</f>
        <v>Freiburg</v>
      </c>
      <c r="BW496" s="141"/>
      <c r="BX496" s="141"/>
      <c r="BY496" s="141" t="str">
        <f>ß08</f>
        <v>Augsburg</v>
      </c>
      <c r="BZ496" s="141"/>
      <c r="CA496" s="141"/>
      <c r="CB496" s="141" t="str">
        <f>ß09</f>
        <v>Mainz</v>
      </c>
      <c r="CC496" s="141"/>
      <c r="CD496" s="141"/>
      <c r="CE496" s="141" t="str">
        <f>ß10</f>
        <v>Köln</v>
      </c>
      <c r="CF496" s="141"/>
      <c r="CG496" s="141"/>
      <c r="CH496" s="141" t="str">
        <f>ß11</f>
        <v>M'gladb.</v>
      </c>
      <c r="CI496" s="141"/>
      <c r="CJ496" s="141"/>
      <c r="CK496" s="141" t="str">
        <f>ß12</f>
        <v>HSV</v>
      </c>
      <c r="CL496" s="141"/>
      <c r="CM496" s="141"/>
      <c r="CN496" s="141" t="str">
        <f>ß13</f>
        <v>Union</v>
      </c>
      <c r="CO496" s="141"/>
      <c r="CP496" s="141"/>
      <c r="CQ496" s="141" t="str">
        <f>ß14</f>
        <v>Stuttgart</v>
      </c>
      <c r="CR496" s="141"/>
      <c r="CS496" s="141"/>
      <c r="CT496" s="141" t="str">
        <f>ß15</f>
        <v>St. Pauli</v>
      </c>
      <c r="CU496" s="141"/>
      <c r="CV496" s="141"/>
      <c r="CW496" s="141" t="str">
        <f>ß16</f>
        <v>Dortmund</v>
      </c>
      <c r="CX496" s="141"/>
      <c r="CY496" s="141"/>
      <c r="CZ496" s="141" t="str">
        <f>ß17</f>
        <v>Heidenheim</v>
      </c>
      <c r="DA496" s="141"/>
      <c r="DB496" s="141"/>
      <c r="DC496" s="141" t="str">
        <f>ß18</f>
        <v>Wolfsburg</v>
      </c>
      <c r="DD496" s="141"/>
      <c r="DE496" s="141"/>
    </row>
    <row r="497" spans="3:122" ht="11.25" customHeight="1" x14ac:dyDescent="0.2">
      <c r="C497" s="16" t="str">
        <f>Mannschaften!F34</f>
        <v>34. Spieltag</v>
      </c>
      <c r="D497" s="11"/>
      <c r="E497" s="96">
        <f>Mannschaften!G34</f>
        <v>46158</v>
      </c>
      <c r="I497" s="19">
        <f>RANK(Rang!A34,Rang!A34:G34)</f>
        <v>1</v>
      </c>
      <c r="J497" s="20">
        <f>RANK(Rang!H34,Rang!H34:N34)</f>
        <v>1</v>
      </c>
      <c r="K497" s="19">
        <f>RANK(Rang!B34,Rang!A34:G34)</f>
        <v>1</v>
      </c>
      <c r="L497" s="20">
        <f>RANK(Rang!I34,Rang!H34:N34)</f>
        <v>1</v>
      </c>
      <c r="M497" s="19">
        <f>RANK(Rang!C34,Rang!A34:G34)</f>
        <v>1</v>
      </c>
      <c r="N497" s="20">
        <f>RANK(Rang!J34,Rang!H34:N34)</f>
        <v>1</v>
      </c>
      <c r="O497" s="19">
        <f>RANK(Rang!D34,Rang!A34:G34)</f>
        <v>1</v>
      </c>
      <c r="P497" s="20">
        <f>RANK(Rang!K34,Rang!H34:N34)</f>
        <v>1</v>
      </c>
      <c r="Q497" s="19">
        <f>RANK(Rang!E34,Rang!A34:G34)</f>
        <v>1</v>
      </c>
      <c r="R497" s="20">
        <f>RANK(Rang!L34,Rang!H34:N34)</f>
        <v>1</v>
      </c>
      <c r="S497" s="19">
        <f>RANK(Rang!F34,Rang!A34:G34)</f>
        <v>1</v>
      </c>
      <c r="T497" s="20">
        <f>RANK(Rang!M34,Rang!H34:N34)</f>
        <v>1</v>
      </c>
      <c r="U497" s="19">
        <f>RANK(Rang!G34,Rang!A34:G34)</f>
        <v>1</v>
      </c>
      <c r="V497" s="20">
        <f>RANK(Rang!N34,Rang!H34:N34)</f>
        <v>1</v>
      </c>
      <c r="AF497" s="22"/>
      <c r="AG497" s="22"/>
      <c r="AH497" s="22"/>
      <c r="AI497" s="22"/>
      <c r="AJ497" s="22"/>
      <c r="AK497" s="21"/>
      <c r="AL497" s="21"/>
      <c r="AM497" s="21"/>
      <c r="AN497" s="21"/>
      <c r="AO497" s="21"/>
      <c r="AP497" s="21"/>
      <c r="AQ497" s="21"/>
      <c r="AR497" s="21"/>
      <c r="AS497" s="24"/>
      <c r="AT497" s="21"/>
      <c r="AU497" s="21"/>
      <c r="AV497" s="21"/>
      <c r="AW497" s="21"/>
      <c r="AX497" s="21"/>
      <c r="AY497" s="21"/>
      <c r="AZ497" s="21"/>
      <c r="BA497" s="21"/>
      <c r="BB497" s="21"/>
      <c r="BD497" s="25" t="s">
        <v>4</v>
      </c>
      <c r="BE497" s="25" t="s">
        <v>5</v>
      </c>
      <c r="BF497" s="26" t="s">
        <v>6</v>
      </c>
      <c r="BG497" s="27" t="s">
        <v>4</v>
      </c>
      <c r="BH497" s="25" t="s">
        <v>5</v>
      </c>
      <c r="BI497" s="26" t="s">
        <v>6</v>
      </c>
      <c r="BJ497" s="27" t="s">
        <v>4</v>
      </c>
      <c r="BK497" s="25" t="s">
        <v>5</v>
      </c>
      <c r="BL497" s="26" t="s">
        <v>6</v>
      </c>
      <c r="BM497" s="27" t="s">
        <v>4</v>
      </c>
      <c r="BN497" s="25" t="s">
        <v>5</v>
      </c>
      <c r="BO497" s="26" t="s">
        <v>6</v>
      </c>
      <c r="BP497" s="27" t="s">
        <v>4</v>
      </c>
      <c r="BQ497" s="25" t="s">
        <v>5</v>
      </c>
      <c r="BR497" s="26" t="s">
        <v>6</v>
      </c>
      <c r="BS497" s="27" t="s">
        <v>4</v>
      </c>
      <c r="BT497" s="25" t="s">
        <v>5</v>
      </c>
      <c r="BU497" s="26" t="s">
        <v>6</v>
      </c>
      <c r="BV497" s="27" t="s">
        <v>4</v>
      </c>
      <c r="BW497" s="25" t="s">
        <v>5</v>
      </c>
      <c r="BX497" s="26" t="s">
        <v>6</v>
      </c>
      <c r="BY497" s="27" t="s">
        <v>4</v>
      </c>
      <c r="BZ497" s="25" t="s">
        <v>5</v>
      </c>
      <c r="CA497" s="26" t="s">
        <v>6</v>
      </c>
      <c r="CB497" s="27" t="s">
        <v>4</v>
      </c>
      <c r="CC497" s="25" t="s">
        <v>5</v>
      </c>
      <c r="CD497" s="26" t="s">
        <v>6</v>
      </c>
      <c r="CE497" s="27" t="s">
        <v>4</v>
      </c>
      <c r="CF497" s="25" t="s">
        <v>5</v>
      </c>
      <c r="CG497" s="26" t="s">
        <v>6</v>
      </c>
      <c r="CH497" s="27" t="s">
        <v>4</v>
      </c>
      <c r="CI497" s="25" t="s">
        <v>5</v>
      </c>
      <c r="CJ497" s="26" t="s">
        <v>6</v>
      </c>
      <c r="CK497" s="27" t="s">
        <v>4</v>
      </c>
      <c r="CL497" s="25" t="s">
        <v>5</v>
      </c>
      <c r="CM497" s="26" t="s">
        <v>6</v>
      </c>
      <c r="CN497" s="27" t="s">
        <v>4</v>
      </c>
      <c r="CO497" s="25" t="s">
        <v>5</v>
      </c>
      <c r="CP497" s="26" t="s">
        <v>6</v>
      </c>
      <c r="CQ497" s="27" t="s">
        <v>4</v>
      </c>
      <c r="CR497" s="25" t="s">
        <v>5</v>
      </c>
      <c r="CS497" s="26" t="s">
        <v>6</v>
      </c>
      <c r="CT497" s="27" t="s">
        <v>4</v>
      </c>
      <c r="CU497" s="25" t="s">
        <v>5</v>
      </c>
      <c r="CV497" s="26" t="s">
        <v>6</v>
      </c>
      <c r="CW497" s="27" t="s">
        <v>4</v>
      </c>
      <c r="CX497" s="25" t="s">
        <v>5</v>
      </c>
      <c r="CY497" s="26" t="s">
        <v>6</v>
      </c>
      <c r="CZ497" s="27" t="s">
        <v>4</v>
      </c>
      <c r="DA497" s="25" t="s">
        <v>5</v>
      </c>
      <c r="DB497" s="26" t="s">
        <v>6</v>
      </c>
      <c r="DC497" s="27" t="s">
        <v>4</v>
      </c>
      <c r="DD497" s="25" t="s">
        <v>5</v>
      </c>
      <c r="DE497" s="26" t="s">
        <v>6</v>
      </c>
      <c r="DF497" s="21"/>
      <c r="DG497" s="21"/>
      <c r="DH497" s="21"/>
      <c r="DN497" s="136" t="s">
        <v>7</v>
      </c>
      <c r="DO497" s="136"/>
      <c r="DP497" s="136" t="s">
        <v>8</v>
      </c>
      <c r="DQ497" s="136"/>
      <c r="DR497" s="28"/>
    </row>
    <row r="498" spans="3:122" ht="11.25" customHeight="1" x14ac:dyDescent="0.2">
      <c r="C498" s="2" t="str">
        <f t="shared" ref="C498:C506" si="499">E243</f>
        <v>Werder</v>
      </c>
      <c r="D498" s="3" t="s">
        <v>11</v>
      </c>
      <c r="E498" s="2" t="str">
        <f t="shared" ref="E498:E506" si="500">C243</f>
        <v>Dortmund</v>
      </c>
      <c r="F498" s="29"/>
      <c r="G498" s="3" t="s">
        <v>12</v>
      </c>
      <c r="H498" s="30"/>
      <c r="I498" s="31"/>
      <c r="J498" s="32" t="str">
        <f t="shared" ref="J498:J506" si="501">IF($F498="","",(IF(I498="","",IF(I498=$DG498,(VLOOKUP($DH498,$DJ$3:$DK$11,2,FALSE())),0))))</f>
        <v/>
      </c>
      <c r="K498" s="31"/>
      <c r="L498" s="32" t="str">
        <f t="shared" ref="L498:L506" si="502">IF($F498="","",(IF(K498="","",IF(K498=$DG498,(VLOOKUP($DH498,$DJ$3:$DK$11,2,FALSE())),0))))</f>
        <v/>
      </c>
      <c r="M498" s="31"/>
      <c r="N498" s="32" t="str">
        <f t="shared" ref="N498:N506" si="503">IF($F498="","",(IF(M498="","",IF(M498=$DG498,(VLOOKUP($DH498,$DJ$3:$DK$11,2,FALSE())),0))))</f>
        <v/>
      </c>
      <c r="O498" s="31"/>
      <c r="P498" s="32" t="str">
        <f t="shared" ref="P498:P506" si="504">IF($F498="","",(IF(O498="","",IF(O498=$DG498,(VLOOKUP($DH498,$DJ$3:$DK$11,2,FALSE())),0))))</f>
        <v/>
      </c>
      <c r="Q498" s="31"/>
      <c r="R498" s="32" t="str">
        <f t="shared" ref="R498:R506" si="505">IF($F498="","",(IF(Q498="","",IF(Q498=$DG498,(VLOOKUP($DH498,$DJ$3:$DK$11,2,FALSE())),0))))</f>
        <v/>
      </c>
      <c r="S498" s="31"/>
      <c r="T498" s="32" t="str">
        <f t="shared" ref="T498:T506" si="506">IF($F498="","",(IF(S498="","",IF(S498=$DG498,(VLOOKUP($DH498,$DJ$3:$DK$11,2,FALSE())),0))))</f>
        <v/>
      </c>
      <c r="U498" s="31"/>
      <c r="V498" s="32" t="str">
        <f t="shared" ref="V498:V506" si="507">IF($F498="","",(IF(U498="","",IF(U498=$DG498,(VLOOKUP($DH498,$DJ$3:$DK$11,2,FALSE())),0))))</f>
        <v/>
      </c>
      <c r="AF498" s="34"/>
      <c r="AG498" s="34"/>
      <c r="AH498" s="34"/>
      <c r="AI498" s="34"/>
      <c r="AJ498" s="34"/>
      <c r="AN498" s="5"/>
      <c r="AO498" s="5"/>
      <c r="AP498" s="5"/>
      <c r="AQ498" s="5"/>
      <c r="AR498" s="5"/>
      <c r="AS498" s="13"/>
      <c r="AT498" s="5"/>
      <c r="AU498" s="5"/>
      <c r="AV498" s="5"/>
      <c r="AW498" s="5"/>
      <c r="AX498" s="5"/>
      <c r="AY498" s="5"/>
      <c r="BC498" s="6">
        <v>497</v>
      </c>
      <c r="BD498" s="35">
        <f>IF(ISERROR(MATCH(ß01,$C498:$C506,0)),"",MATCH(ß01,$C498:$C506,0))</f>
        <v>8</v>
      </c>
      <c r="BE498" s="35" t="str">
        <f>IF(ISERROR(MATCH(ß01,$E498:$E506,0)),"",MATCH(ß01,$E498:$E506,0))</f>
        <v/>
      </c>
      <c r="BF498" s="15">
        <f>SUM(BD498:BE498)+BC498</f>
        <v>505</v>
      </c>
      <c r="BG498" s="36" t="str">
        <f>IF(ISERROR(MATCH(ß02,$C498:$C506,0)),"",MATCH(ß02,$C498:$C506,0))</f>
        <v/>
      </c>
      <c r="BH498" s="35">
        <f>IF(ISERROR(MATCH(ß02,$E498:$E506,0)),"",MATCH(ß02,$E498:$E506,0))</f>
        <v>3</v>
      </c>
      <c r="BI498" s="15">
        <f>SUM(BG498:BH498)+BC498</f>
        <v>500</v>
      </c>
      <c r="BJ498" s="36">
        <f>IF(ISERROR(MATCH(ß03,$C498:$C506,0)),"",MATCH(ß03,$C498:$C506,0))</f>
        <v>9</v>
      </c>
      <c r="BK498" s="35" t="str">
        <f>IF(ISERROR(MATCH(ß03,$E498:$E506,0)),"",MATCH(ß03,$E498:$E506,0))</f>
        <v/>
      </c>
      <c r="BL498" s="15">
        <f>SUM(BJ498:BK498)+BC498</f>
        <v>506</v>
      </c>
      <c r="BM498" s="36" t="str">
        <f>IF(ISERROR(MATCH(ß04,$C498:$C506,0)),"",MATCH(ß04,$C498:$C506,0))</f>
        <v/>
      </c>
      <c r="BN498" s="35">
        <f>IF(ISERROR(MATCH(ß04,$E498:$E506,0)),"",MATCH(ß04,$E498:$E506,0))</f>
        <v>7</v>
      </c>
      <c r="BO498" s="15">
        <f>SUM(BM498:BN498)+BC498</f>
        <v>504</v>
      </c>
      <c r="BP498" s="36">
        <f>IF(ISERROR(MATCH(ß05,$C498:$C506,0)),"",MATCH(ß05,$C498:$C506,0))</f>
        <v>4</v>
      </c>
      <c r="BQ498" s="35" t="str">
        <f>IF(ISERROR(MATCH(ß05,$E498:$E506,0)),"",MATCH(ß05,$E498:$E506,0))</f>
        <v/>
      </c>
      <c r="BR498" s="15">
        <f>SUM(BP498:BQ498)+BC498</f>
        <v>501</v>
      </c>
      <c r="BS498" s="36">
        <f>IF(ISERROR(MATCH(ß06,$C498:$C506,0)),"",MATCH(ß06,$C498:$C506,0))</f>
        <v>1</v>
      </c>
      <c r="BT498" s="35" t="str">
        <f>IF(ISERROR(MATCH(ß06,$E498:$E506,0)),"",MATCH(ß06,$E498:$E506,0))</f>
        <v/>
      </c>
      <c r="BU498" s="15">
        <f>SUM(BS498:BT498)+BC498</f>
        <v>498</v>
      </c>
      <c r="BV498" s="36">
        <f>IF(ISERROR(MATCH(ß07,$C498:$C506,0)),"",MATCH(ß07,$C498:$C506,0))</f>
        <v>3</v>
      </c>
      <c r="BW498" s="35" t="str">
        <f>IF(ISERROR(MATCH(ß07,$E498:$E506,0)),"",MATCH(ß07,$E498:$E506,0))</f>
        <v/>
      </c>
      <c r="BX498" s="15">
        <f>SUM(BV498:BW498)+BC498</f>
        <v>500</v>
      </c>
      <c r="BY498" s="36" t="str">
        <f>IF(ISERROR(MATCH(ß08,$C498:$C506,0)),"",MATCH(ß08,$C498:$C506,0))</f>
        <v/>
      </c>
      <c r="BZ498" s="35">
        <f>IF(ISERROR(MATCH(ß08,$E498:$E506,0)),"",MATCH(ß08,$E498:$E506,0))</f>
        <v>6</v>
      </c>
      <c r="CA498" s="15">
        <f>SUM(BY498:BZ498)+BC498</f>
        <v>503</v>
      </c>
      <c r="CB498" s="36" t="str">
        <f>IF(ISERROR(MATCH(ß09,$C498:$C506,0)),"",MATCH(ß09,$C498:$C506,0))</f>
        <v/>
      </c>
      <c r="CC498" s="35">
        <f>IF(ISERROR(MATCH(ß09,$E498:$E506,0)),"",MATCH(ß09,$E498:$E506,0))</f>
        <v>2</v>
      </c>
      <c r="CD498" s="15">
        <f>SUM(CB498:CC498)+BC498</f>
        <v>499</v>
      </c>
      <c r="CE498" s="36" t="str">
        <f>IF(ISERROR(MATCH(ß10,$C498:$C506,0)),"",MATCH(ß10,$C498:$C506,0))</f>
        <v/>
      </c>
      <c r="CF498" s="35">
        <f>IF(ISERROR(MATCH(ß10,$E498:$E506,0)),"",MATCH(ß10,$E498:$E506,0))</f>
        <v>8</v>
      </c>
      <c r="CG498" s="15">
        <f>SUM(CE498:CF498)+BC498</f>
        <v>505</v>
      </c>
      <c r="CH498" s="36">
        <f>IF(ISERROR(MATCH(ß11,$C498:$C506,0)),"",MATCH(ß11,$C498:$C506,0))</f>
        <v>7</v>
      </c>
      <c r="CI498" s="35" t="str">
        <f>IF(ISERROR(MATCH(ß11,$E498:$E506,0)),"",MATCH(ß11,$E498:$E506,0))</f>
        <v/>
      </c>
      <c r="CJ498" s="15">
        <f>SUM(CH498:CI498)+BC498</f>
        <v>504</v>
      </c>
      <c r="CK498" s="36" t="str">
        <f>IF(ISERROR(MATCH(ß12,$C498:$C506,0)),"",MATCH(ß12,$C498:$C506,0))</f>
        <v/>
      </c>
      <c r="CL498" s="35">
        <f>IF(ISERROR(MATCH(ß12,$E498:$E506,0)),"",MATCH(ß12,$E498:$E506,0))</f>
        <v>9</v>
      </c>
      <c r="CM498" s="15">
        <f>SUM(CK498:CL498)+BC498</f>
        <v>506</v>
      </c>
      <c r="CN498" s="36">
        <f>IF(ISERROR(MATCH(ß13,$C498:$C506,0)),"",MATCH(ß13,$C498:$C506,0))</f>
        <v>6</v>
      </c>
      <c r="CO498" s="35" t="str">
        <f>IF(ISERROR(MATCH(ß13,$E498:$E506,0)),"",MATCH(ß13,$E498:$E506,0))</f>
        <v/>
      </c>
      <c r="CP498" s="15">
        <f>SUM(CN498:CO498)+BC498</f>
        <v>503</v>
      </c>
      <c r="CQ498" s="36" t="str">
        <f>IF(ISERROR(MATCH(ß14,$C498:$C506,0)),"",MATCH(ß14,$C498:$C506,0))</f>
        <v/>
      </c>
      <c r="CR498" s="35">
        <f>IF(ISERROR(MATCH(ß14,$E498:$E506,0)),"",MATCH(ß14,$E498:$E506,0))</f>
        <v>4</v>
      </c>
      <c r="CS498" s="15">
        <f>SUM(CQ498:CR498)+BC498</f>
        <v>501</v>
      </c>
      <c r="CT498" s="36">
        <f>IF(ISERROR(MATCH(ß15,$C498:$C506,0)),"",MATCH(ß15,$C498:$C506,0))</f>
        <v>5</v>
      </c>
      <c r="CU498" s="35" t="str">
        <f>IF(ISERROR(MATCH(ß15,$E498:$E506,0)),"",MATCH(ß15,$E498:$E506,0))</f>
        <v/>
      </c>
      <c r="CV498" s="15">
        <f>SUM(CT498:CU498)+BC498</f>
        <v>502</v>
      </c>
      <c r="CW498" s="36" t="str">
        <f>IF(ISERROR(MATCH(ß16,$C498:$C506,0)),"",MATCH(ß16,$C498:$C506,0))</f>
        <v/>
      </c>
      <c r="CX498" s="35">
        <f>IF(ISERROR(MATCH(ß16,$E498:$E506,0)),"",MATCH(ß16,$E498:$E506,0))</f>
        <v>1</v>
      </c>
      <c r="CY498" s="15">
        <f>SUM(CW498:CX498)+BC498</f>
        <v>498</v>
      </c>
      <c r="CZ498" s="36">
        <f>IF(ISERROR(MATCH(ß17,$C498:$C506,0)),"",MATCH(ß17,$C498:$C506,0))</f>
        <v>2</v>
      </c>
      <c r="DA498" s="35" t="str">
        <f>IF(ISERROR(MATCH(ß17,$E498:$E506,0)),"",MATCH(ß17,$E498:$E506,0))</f>
        <v/>
      </c>
      <c r="DB498" s="15">
        <f>SUM(CZ498:DA498)+BC498</f>
        <v>499</v>
      </c>
      <c r="DC498" s="36" t="str">
        <f>IF(ISERROR(MATCH(ß18,$C498:$C506,0)),"",MATCH(ß18,$C498:$C506,0))</f>
        <v/>
      </c>
      <c r="DD498" s="35">
        <f>IF(ISERROR(MATCH(ß18,$E498:$E506,0)),"",MATCH(ß18,$E498:$E506,0))</f>
        <v>5</v>
      </c>
      <c r="DE498" s="15">
        <f>SUM(DC498:DD498)+BC498</f>
        <v>502</v>
      </c>
      <c r="DG498" s="8" t="str">
        <f t="shared" ref="DG498:DG506" si="508">IF(F498="","",(IF(F498=H498,0,IF(F498&gt;H498,1,IF(F498&lt;H498,2)))))</f>
        <v/>
      </c>
      <c r="DH498" s="3">
        <f>COUNTIF(I498,DG498)+COUNTIF(K498,DG498)+COUNTIF(M498,DG498)+COUNTIF(O498,DG498)+COUNTIF(Q498,DG498)+COUNTIF(S498,DG498)+COUNTIF(U498,DG498)</f>
        <v>7</v>
      </c>
      <c r="DN498" s="12">
        <f t="shared" ref="DN498:DN506" si="509">F498</f>
        <v>0</v>
      </c>
      <c r="DO498" s="5">
        <f t="shared" ref="DO498:DO506" si="510">H498</f>
        <v>0</v>
      </c>
      <c r="DP498" s="5" t="str">
        <f t="shared" ref="DP498:DP506" si="511">IF($F498="","",IF(DN498&gt;DO498,3,IF(DN498&lt;DO498,0,1)))</f>
        <v/>
      </c>
      <c r="DQ498" s="5" t="str">
        <f t="shared" ref="DQ498:DQ506" si="512">IF($H498="","",IF(DO498&gt;DN498,3,IF(DO498&lt;DN498,0,1)))</f>
        <v/>
      </c>
      <c r="DR498" s="5">
        <f t="shared" ref="DR498:DR506" si="513">IF(ISBLANK(F498),0,1)</f>
        <v>0</v>
      </c>
    </row>
    <row r="499" spans="3:122" ht="11.25" customHeight="1" x14ac:dyDescent="0.2">
      <c r="C499" s="2" t="str">
        <f t="shared" si="499"/>
        <v>Heidenheim</v>
      </c>
      <c r="D499" s="3" t="s">
        <v>11</v>
      </c>
      <c r="E499" s="2" t="str">
        <f t="shared" si="500"/>
        <v>Mainz</v>
      </c>
      <c r="F499" s="29"/>
      <c r="G499" s="3" t="s">
        <v>12</v>
      </c>
      <c r="H499" s="30"/>
      <c r="I499" s="37"/>
      <c r="J499" s="38" t="str">
        <f t="shared" si="501"/>
        <v/>
      </c>
      <c r="K499" s="37"/>
      <c r="L499" s="38" t="str">
        <f t="shared" si="502"/>
        <v/>
      </c>
      <c r="M499" s="37"/>
      <c r="N499" s="38" t="str">
        <f t="shared" si="503"/>
        <v/>
      </c>
      <c r="O499" s="37"/>
      <c r="P499" s="38" t="str">
        <f t="shared" si="504"/>
        <v/>
      </c>
      <c r="Q499" s="37"/>
      <c r="R499" s="38" t="str">
        <f t="shared" si="505"/>
        <v/>
      </c>
      <c r="S499" s="37"/>
      <c r="T499" s="38" t="str">
        <f t="shared" si="506"/>
        <v/>
      </c>
      <c r="U499" s="37"/>
      <c r="V499" s="38" t="str">
        <f t="shared" si="507"/>
        <v/>
      </c>
      <c r="AF499" s="34"/>
      <c r="AG499" s="34"/>
      <c r="AH499" s="34"/>
      <c r="AI499" s="34"/>
      <c r="AJ499" s="34"/>
      <c r="DG499" s="8" t="str">
        <f t="shared" si="508"/>
        <v/>
      </c>
      <c r="DH499" s="3">
        <f t="shared" ref="DH499:DH506" si="514">COUNTIF(I499,DG499)+COUNTIF(K499,DG499)+COUNTIF(M499,DG499)+COUNTIF(O499,DG499)+COUNTIF(Q499,DG499)+COUNTIF(S499,DG499)+COUNTIF(U499,DG499)</f>
        <v>7</v>
      </c>
      <c r="DN499" s="12">
        <f t="shared" si="509"/>
        <v>0</v>
      </c>
      <c r="DO499" s="5">
        <f t="shared" si="510"/>
        <v>0</v>
      </c>
      <c r="DP499" s="5" t="str">
        <f t="shared" si="511"/>
        <v/>
      </c>
      <c r="DQ499" s="5" t="str">
        <f t="shared" si="512"/>
        <v/>
      </c>
      <c r="DR499" s="5">
        <f t="shared" si="513"/>
        <v>0</v>
      </c>
    </row>
    <row r="500" spans="3:122" ht="11.25" customHeight="1" x14ac:dyDescent="0.2">
      <c r="C500" s="2" t="str">
        <f t="shared" si="499"/>
        <v>Freiburg</v>
      </c>
      <c r="D500" s="3" t="s">
        <v>11</v>
      </c>
      <c r="E500" s="2" t="str">
        <f t="shared" si="500"/>
        <v>Leipzig</v>
      </c>
      <c r="F500" s="29"/>
      <c r="G500" s="3" t="s">
        <v>12</v>
      </c>
      <c r="H500" s="30"/>
      <c r="I500" s="37"/>
      <c r="J500" s="38" t="str">
        <f t="shared" si="501"/>
        <v/>
      </c>
      <c r="K500" s="37"/>
      <c r="L500" s="38" t="str">
        <f t="shared" si="502"/>
        <v/>
      </c>
      <c r="M500" s="37"/>
      <c r="N500" s="38" t="str">
        <f t="shared" si="503"/>
        <v/>
      </c>
      <c r="O500" s="37"/>
      <c r="P500" s="38" t="str">
        <f t="shared" si="504"/>
        <v/>
      </c>
      <c r="Q500" s="37"/>
      <c r="R500" s="38" t="str">
        <f t="shared" si="505"/>
        <v/>
      </c>
      <c r="S500" s="37"/>
      <c r="T500" s="38" t="str">
        <f t="shared" si="506"/>
        <v/>
      </c>
      <c r="U500" s="37"/>
      <c r="V500" s="38" t="str">
        <f t="shared" si="507"/>
        <v/>
      </c>
      <c r="AF500" s="34"/>
      <c r="AG500" s="34"/>
      <c r="AH500" s="34"/>
      <c r="AI500" s="34"/>
      <c r="AJ500" s="34"/>
      <c r="DG500" s="8" t="str">
        <f t="shared" si="508"/>
        <v/>
      </c>
      <c r="DH500" s="3">
        <f t="shared" si="514"/>
        <v>7</v>
      </c>
      <c r="DN500" s="12">
        <f t="shared" si="509"/>
        <v>0</v>
      </c>
      <c r="DO500" s="5">
        <f t="shared" si="510"/>
        <v>0</v>
      </c>
      <c r="DP500" s="5" t="str">
        <f t="shared" si="511"/>
        <v/>
      </c>
      <c r="DQ500" s="5" t="str">
        <f t="shared" si="512"/>
        <v/>
      </c>
      <c r="DR500" s="5">
        <f t="shared" si="513"/>
        <v>0</v>
      </c>
    </row>
    <row r="501" spans="3:122" ht="11.25" customHeight="1" x14ac:dyDescent="0.2">
      <c r="C501" s="2" t="str">
        <f t="shared" si="499"/>
        <v>Frankfurt</v>
      </c>
      <c r="D501" s="3" t="s">
        <v>11</v>
      </c>
      <c r="E501" s="2" t="str">
        <f t="shared" si="500"/>
        <v>Stuttgart</v>
      </c>
      <c r="F501" s="29"/>
      <c r="G501" s="3" t="s">
        <v>12</v>
      </c>
      <c r="H501" s="30"/>
      <c r="I501" s="37"/>
      <c r="J501" s="38" t="str">
        <f t="shared" si="501"/>
        <v/>
      </c>
      <c r="K501" s="37"/>
      <c r="L501" s="38" t="str">
        <f t="shared" si="502"/>
        <v/>
      </c>
      <c r="M501" s="37"/>
      <c r="N501" s="38" t="str">
        <f t="shared" si="503"/>
        <v/>
      </c>
      <c r="O501" s="37"/>
      <c r="P501" s="38" t="str">
        <f t="shared" si="504"/>
        <v/>
      </c>
      <c r="Q501" s="37"/>
      <c r="R501" s="38" t="str">
        <f t="shared" si="505"/>
        <v/>
      </c>
      <c r="S501" s="37"/>
      <c r="T501" s="38" t="str">
        <f t="shared" si="506"/>
        <v/>
      </c>
      <c r="U501" s="37"/>
      <c r="V501" s="38" t="str">
        <f t="shared" si="507"/>
        <v/>
      </c>
      <c r="AF501" s="34"/>
      <c r="AG501" s="34"/>
      <c r="AH501" s="34"/>
      <c r="AI501" s="34"/>
      <c r="AJ501" s="34"/>
      <c r="DG501" s="8" t="str">
        <f t="shared" si="508"/>
        <v/>
      </c>
      <c r="DH501" s="3">
        <f t="shared" si="514"/>
        <v>7</v>
      </c>
      <c r="DN501" s="12">
        <f t="shared" si="509"/>
        <v>0</v>
      </c>
      <c r="DO501" s="5">
        <f t="shared" si="510"/>
        <v>0</v>
      </c>
      <c r="DP501" s="5" t="str">
        <f t="shared" si="511"/>
        <v/>
      </c>
      <c r="DQ501" s="5" t="str">
        <f t="shared" si="512"/>
        <v/>
      </c>
      <c r="DR501" s="5">
        <f t="shared" si="513"/>
        <v>0</v>
      </c>
    </row>
    <row r="502" spans="3:122" ht="11.25" customHeight="1" x14ac:dyDescent="0.2">
      <c r="C502" s="2" t="str">
        <f t="shared" si="499"/>
        <v>St. Pauli</v>
      </c>
      <c r="D502" s="3" t="s">
        <v>11</v>
      </c>
      <c r="E502" s="2" t="str">
        <f t="shared" si="500"/>
        <v>Wolfsburg</v>
      </c>
      <c r="F502" s="29"/>
      <c r="G502" s="3" t="s">
        <v>12</v>
      </c>
      <c r="H502" s="30"/>
      <c r="I502" s="37"/>
      <c r="J502" s="38" t="str">
        <f t="shared" si="501"/>
        <v/>
      </c>
      <c r="K502" s="37"/>
      <c r="L502" s="38" t="str">
        <f t="shared" si="502"/>
        <v/>
      </c>
      <c r="M502" s="37"/>
      <c r="N502" s="38" t="str">
        <f t="shared" si="503"/>
        <v/>
      </c>
      <c r="O502" s="37"/>
      <c r="P502" s="38" t="str">
        <f t="shared" si="504"/>
        <v/>
      </c>
      <c r="Q502" s="37"/>
      <c r="R502" s="38" t="str">
        <f t="shared" si="505"/>
        <v/>
      </c>
      <c r="S502" s="37"/>
      <c r="T502" s="38" t="str">
        <f t="shared" si="506"/>
        <v/>
      </c>
      <c r="U502" s="37"/>
      <c r="V502" s="38" t="str">
        <f t="shared" si="507"/>
        <v/>
      </c>
      <c r="AF502" s="34"/>
      <c r="AG502" s="34"/>
      <c r="AH502" s="34"/>
      <c r="AI502" s="34"/>
      <c r="AJ502" s="34"/>
      <c r="DG502" s="8" t="str">
        <f t="shared" si="508"/>
        <v/>
      </c>
      <c r="DH502" s="3">
        <f t="shared" si="514"/>
        <v>7</v>
      </c>
      <c r="DN502" s="12">
        <f t="shared" si="509"/>
        <v>0</v>
      </c>
      <c r="DO502" s="5">
        <f t="shared" si="510"/>
        <v>0</v>
      </c>
      <c r="DP502" s="5" t="str">
        <f t="shared" si="511"/>
        <v/>
      </c>
      <c r="DQ502" s="5" t="str">
        <f t="shared" si="512"/>
        <v/>
      </c>
      <c r="DR502" s="5">
        <f t="shared" si="513"/>
        <v>0</v>
      </c>
    </row>
    <row r="503" spans="3:122" ht="11.25" customHeight="1" x14ac:dyDescent="0.2">
      <c r="C503" s="2" t="str">
        <f t="shared" si="499"/>
        <v>Union</v>
      </c>
      <c r="D503" s="3" t="s">
        <v>11</v>
      </c>
      <c r="E503" s="2" t="str">
        <f t="shared" si="500"/>
        <v>Augsburg</v>
      </c>
      <c r="F503" s="29"/>
      <c r="G503" s="3" t="s">
        <v>12</v>
      </c>
      <c r="H503" s="30"/>
      <c r="I503" s="37"/>
      <c r="J503" s="38" t="str">
        <f t="shared" si="501"/>
        <v/>
      </c>
      <c r="K503" s="37"/>
      <c r="L503" s="38" t="str">
        <f t="shared" si="502"/>
        <v/>
      </c>
      <c r="M503" s="37"/>
      <c r="N503" s="38" t="str">
        <f t="shared" si="503"/>
        <v/>
      </c>
      <c r="O503" s="37"/>
      <c r="P503" s="38" t="str">
        <f t="shared" si="504"/>
        <v/>
      </c>
      <c r="Q503" s="37"/>
      <c r="R503" s="38" t="str">
        <f t="shared" si="505"/>
        <v/>
      </c>
      <c r="S503" s="37"/>
      <c r="T503" s="38" t="str">
        <f t="shared" si="506"/>
        <v/>
      </c>
      <c r="U503" s="37"/>
      <c r="V503" s="38" t="str">
        <f t="shared" si="507"/>
        <v/>
      </c>
      <c r="AF503" s="34"/>
      <c r="AG503" s="34"/>
      <c r="AH503" s="34"/>
      <c r="AI503" s="34"/>
      <c r="AJ503" s="34"/>
      <c r="DG503" s="8" t="str">
        <f t="shared" si="508"/>
        <v/>
      </c>
      <c r="DH503" s="3">
        <f t="shared" si="514"/>
        <v>7</v>
      </c>
      <c r="DN503" s="12">
        <f t="shared" si="509"/>
        <v>0</v>
      </c>
      <c r="DO503" s="5">
        <f t="shared" si="510"/>
        <v>0</v>
      </c>
      <c r="DP503" s="5" t="str">
        <f t="shared" si="511"/>
        <v/>
      </c>
      <c r="DQ503" s="5" t="str">
        <f t="shared" si="512"/>
        <v/>
      </c>
      <c r="DR503" s="5">
        <f t="shared" si="513"/>
        <v>0</v>
      </c>
    </row>
    <row r="504" spans="3:122" ht="11.25" customHeight="1" x14ac:dyDescent="0.2">
      <c r="C504" s="2" t="str">
        <f t="shared" si="499"/>
        <v>M'gladb.</v>
      </c>
      <c r="D504" s="3" t="s">
        <v>11</v>
      </c>
      <c r="E504" s="2" t="str">
        <f t="shared" si="500"/>
        <v>Hoffenheim</v>
      </c>
      <c r="F504" s="29"/>
      <c r="G504" s="3" t="s">
        <v>12</v>
      </c>
      <c r="H504" s="30"/>
      <c r="I504" s="37"/>
      <c r="J504" s="38" t="str">
        <f t="shared" si="501"/>
        <v/>
      </c>
      <c r="K504" s="37"/>
      <c r="L504" s="38" t="str">
        <f t="shared" si="502"/>
        <v/>
      </c>
      <c r="M504" s="37"/>
      <c r="N504" s="38" t="str">
        <f t="shared" si="503"/>
        <v/>
      </c>
      <c r="O504" s="37"/>
      <c r="P504" s="38" t="str">
        <f t="shared" si="504"/>
        <v/>
      </c>
      <c r="Q504" s="37"/>
      <c r="R504" s="38" t="str">
        <f t="shared" si="505"/>
        <v/>
      </c>
      <c r="S504" s="37"/>
      <c r="T504" s="38" t="str">
        <f t="shared" si="506"/>
        <v/>
      </c>
      <c r="U504" s="37"/>
      <c r="V504" s="38" t="str">
        <f t="shared" si="507"/>
        <v/>
      </c>
      <c r="AF504" s="34"/>
      <c r="AG504" s="34"/>
      <c r="AH504" s="34"/>
      <c r="AI504" s="34"/>
      <c r="AJ504" s="34"/>
      <c r="DG504" s="8" t="str">
        <f t="shared" si="508"/>
        <v/>
      </c>
      <c r="DH504" s="3">
        <f t="shared" si="514"/>
        <v>7</v>
      </c>
      <c r="DN504" s="12">
        <f t="shared" si="509"/>
        <v>0</v>
      </c>
      <c r="DO504" s="5">
        <f t="shared" si="510"/>
        <v>0</v>
      </c>
      <c r="DP504" s="5" t="str">
        <f t="shared" si="511"/>
        <v/>
      </c>
      <c r="DQ504" s="5" t="str">
        <f t="shared" si="512"/>
        <v/>
      </c>
      <c r="DR504" s="5">
        <f t="shared" si="513"/>
        <v>0</v>
      </c>
    </row>
    <row r="505" spans="3:122" ht="11.25" customHeight="1" x14ac:dyDescent="0.2">
      <c r="C505" s="2" t="str">
        <f t="shared" si="499"/>
        <v>Bayern</v>
      </c>
      <c r="D505" s="3" t="s">
        <v>11</v>
      </c>
      <c r="E505" s="2" t="str">
        <f t="shared" si="500"/>
        <v>Köln</v>
      </c>
      <c r="F505" s="29"/>
      <c r="G505" s="3" t="s">
        <v>12</v>
      </c>
      <c r="H505" s="30"/>
      <c r="I505" s="37"/>
      <c r="J505" s="38" t="str">
        <f t="shared" si="501"/>
        <v/>
      </c>
      <c r="K505" s="37"/>
      <c r="L505" s="38" t="str">
        <f t="shared" si="502"/>
        <v/>
      </c>
      <c r="M505" s="37"/>
      <c r="N505" s="38" t="str">
        <f t="shared" si="503"/>
        <v/>
      </c>
      <c r="O505" s="37"/>
      <c r="P505" s="38" t="str">
        <f t="shared" si="504"/>
        <v/>
      </c>
      <c r="Q505" s="37"/>
      <c r="R505" s="38" t="str">
        <f t="shared" si="505"/>
        <v/>
      </c>
      <c r="S505" s="37"/>
      <c r="T505" s="38" t="str">
        <f t="shared" si="506"/>
        <v/>
      </c>
      <c r="U505" s="37"/>
      <c r="V505" s="38" t="str">
        <f t="shared" si="507"/>
        <v/>
      </c>
      <c r="AF505" s="34"/>
      <c r="AG505" s="34"/>
      <c r="AH505" s="34"/>
      <c r="AI505" s="34"/>
      <c r="AJ505" s="34"/>
      <c r="DG505" s="8" t="str">
        <f t="shared" si="508"/>
        <v/>
      </c>
      <c r="DH505" s="3">
        <f t="shared" si="514"/>
        <v>7</v>
      </c>
      <c r="DN505" s="12">
        <f t="shared" si="509"/>
        <v>0</v>
      </c>
      <c r="DO505" s="5">
        <f t="shared" si="510"/>
        <v>0</v>
      </c>
      <c r="DP505" s="5" t="str">
        <f t="shared" si="511"/>
        <v/>
      </c>
      <c r="DQ505" s="5" t="str">
        <f t="shared" si="512"/>
        <v/>
      </c>
      <c r="DR505" s="5">
        <f t="shared" si="513"/>
        <v>0</v>
      </c>
    </row>
    <row r="506" spans="3:122" ht="11.25" customHeight="1" thickBot="1" x14ac:dyDescent="0.25">
      <c r="C506" s="2" t="str">
        <f t="shared" si="499"/>
        <v>Leverk.</v>
      </c>
      <c r="D506" s="3" t="s">
        <v>11</v>
      </c>
      <c r="E506" s="2" t="str">
        <f t="shared" si="500"/>
        <v>HSV</v>
      </c>
      <c r="F506" s="29"/>
      <c r="G506" s="3" t="s">
        <v>12</v>
      </c>
      <c r="H506" s="30"/>
      <c r="I506" s="37"/>
      <c r="J506" s="38" t="str">
        <f t="shared" si="501"/>
        <v/>
      </c>
      <c r="K506" s="37"/>
      <c r="L506" s="38" t="str">
        <f t="shared" si="502"/>
        <v/>
      </c>
      <c r="M506" s="37"/>
      <c r="N506" s="38" t="str">
        <f t="shared" si="503"/>
        <v/>
      </c>
      <c r="O506" s="37"/>
      <c r="P506" s="38" t="str">
        <f t="shared" si="504"/>
        <v/>
      </c>
      <c r="Q506" s="37"/>
      <c r="R506" s="38" t="str">
        <f t="shared" si="505"/>
        <v/>
      </c>
      <c r="S506" s="37"/>
      <c r="T506" s="38" t="str">
        <f t="shared" si="506"/>
        <v/>
      </c>
      <c r="U506" s="37"/>
      <c r="V506" s="38" t="str">
        <f t="shared" si="507"/>
        <v/>
      </c>
      <c r="AF506" s="34"/>
      <c r="AG506" s="34"/>
      <c r="AH506" s="34"/>
      <c r="AI506" s="34"/>
      <c r="AJ506" s="34"/>
      <c r="DG506" s="8" t="str">
        <f t="shared" si="508"/>
        <v/>
      </c>
      <c r="DH506" s="3">
        <f t="shared" si="514"/>
        <v>7</v>
      </c>
      <c r="DN506" s="12">
        <f t="shared" si="509"/>
        <v>0</v>
      </c>
      <c r="DO506" s="5">
        <f t="shared" si="510"/>
        <v>0</v>
      </c>
      <c r="DP506" s="5" t="str">
        <f t="shared" si="511"/>
        <v/>
      </c>
      <c r="DQ506" s="5" t="str">
        <f t="shared" si="512"/>
        <v/>
      </c>
      <c r="DR506" s="5">
        <f t="shared" si="513"/>
        <v>0</v>
      </c>
    </row>
    <row r="507" spans="3:122" ht="11.25" customHeight="1" thickTop="1" x14ac:dyDescent="0.2">
      <c r="C507" s="41">
        <f>(I507+K507+M507+O507+Q507+S507+U507)</f>
        <v>0</v>
      </c>
      <c r="E507" s="42">
        <f>C507/8</f>
        <v>0</v>
      </c>
      <c r="F507" s="41">
        <f>SUM(F498:F506)</f>
        <v>0</v>
      </c>
      <c r="G507" s="2"/>
      <c r="H507" s="43">
        <f>SUM(H498:H506)</f>
        <v>0</v>
      </c>
      <c r="I507" s="44">
        <f>COUNTIF(J498:J506,"&gt;0")</f>
        <v>0</v>
      </c>
      <c r="J507" s="45">
        <f>I507+J492</f>
        <v>0</v>
      </c>
      <c r="K507" s="44">
        <f>COUNTIF(L498:L506,"&gt;0")</f>
        <v>0</v>
      </c>
      <c r="L507" s="45">
        <f>K507+L492</f>
        <v>0</v>
      </c>
      <c r="M507" s="44">
        <f>COUNTIF(N498:N506,"&gt;0")</f>
        <v>0</v>
      </c>
      <c r="N507" s="45">
        <f>M507+N492</f>
        <v>0</v>
      </c>
      <c r="O507" s="44">
        <f>COUNTIF(P498:P506,"&gt;0")</f>
        <v>0</v>
      </c>
      <c r="P507" s="45">
        <f>O507+P492</f>
        <v>0</v>
      </c>
      <c r="Q507" s="44">
        <f>COUNTIF(R498:R506,"&gt;0")</f>
        <v>0</v>
      </c>
      <c r="R507" s="45">
        <f>Q507+R492</f>
        <v>0</v>
      </c>
      <c r="S507" s="44">
        <f>COUNTIF(T498:T506,"&gt;0")</f>
        <v>0</v>
      </c>
      <c r="T507" s="45">
        <f>S507+T492</f>
        <v>0</v>
      </c>
      <c r="U507" s="44">
        <f>COUNTIF(V498:V506,"&gt;0")</f>
        <v>0</v>
      </c>
      <c r="V507" s="45">
        <f>U507+V492</f>
        <v>0</v>
      </c>
      <c r="AF507" s="34"/>
      <c r="AG507" s="34"/>
      <c r="AH507" s="34"/>
      <c r="AI507" s="34"/>
      <c r="AJ507" s="34"/>
    </row>
    <row r="508" spans="3:122" ht="11.25" customHeight="1" x14ac:dyDescent="0.2">
      <c r="C508" s="41">
        <f>(I508+K508+M508+O508+Q508+S508+U508)</f>
        <v>0</v>
      </c>
      <c r="E508" s="42">
        <f>C508/8</f>
        <v>0</v>
      </c>
      <c r="F508" s="137">
        <f>F507+H507</f>
        <v>0</v>
      </c>
      <c r="G508" s="137"/>
      <c r="H508" s="137"/>
      <c r="I508" s="46">
        <f>SUM(J498:J506)</f>
        <v>0</v>
      </c>
      <c r="J508" s="47">
        <f>I508+J493</f>
        <v>0</v>
      </c>
      <c r="K508" s="46">
        <f>SUM(L498:L506)</f>
        <v>0</v>
      </c>
      <c r="L508" s="47">
        <f>K508+L493</f>
        <v>0</v>
      </c>
      <c r="M508" s="46">
        <f>SUM(N498:N506)</f>
        <v>0</v>
      </c>
      <c r="N508" s="47">
        <f>M508+N493</f>
        <v>0</v>
      </c>
      <c r="O508" s="46">
        <f>SUM(P498:P506)</f>
        <v>0</v>
      </c>
      <c r="P508" s="47">
        <f>O508+P493</f>
        <v>0</v>
      </c>
      <c r="Q508" s="46">
        <f>SUM(R498:R506)</f>
        <v>0</v>
      </c>
      <c r="R508" s="47">
        <f>Q508+R493</f>
        <v>0</v>
      </c>
      <c r="S508" s="46">
        <f>SUM(T498:T506)</f>
        <v>0</v>
      </c>
      <c r="T508" s="47">
        <f>S508+T493</f>
        <v>0</v>
      </c>
      <c r="U508" s="46">
        <f>SUM(V498:V506)</f>
        <v>0</v>
      </c>
      <c r="V508" s="47">
        <f>U508+V493</f>
        <v>0</v>
      </c>
      <c r="AF508" s="34"/>
      <c r="AG508" s="34"/>
      <c r="AH508" s="34"/>
      <c r="AI508" s="34"/>
      <c r="AJ508" s="34"/>
    </row>
    <row r="509" spans="3:122" ht="11.25" customHeight="1" thickBot="1" x14ac:dyDescent="0.25">
      <c r="C509" s="41">
        <f>(I509+K509+M509+O509+Q509+S509+U509)</f>
        <v>0</v>
      </c>
      <c r="E509" s="42">
        <f>C509/8</f>
        <v>0</v>
      </c>
      <c r="F509" s="138">
        <f>F508+F494</f>
        <v>0</v>
      </c>
      <c r="G509" s="138"/>
      <c r="H509" s="138"/>
      <c r="I509" s="48">
        <f>I507*I508</f>
        <v>0</v>
      </c>
      <c r="J509" s="49">
        <f>I509+J494</f>
        <v>0</v>
      </c>
      <c r="K509" s="48">
        <f>K507*K508</f>
        <v>0</v>
      </c>
      <c r="L509" s="49">
        <f>K509+L494</f>
        <v>0</v>
      </c>
      <c r="M509" s="48">
        <f>M507*M508</f>
        <v>0</v>
      </c>
      <c r="N509" s="49">
        <f>M509+N494</f>
        <v>0</v>
      </c>
      <c r="O509" s="48">
        <f>O507*O508</f>
        <v>0</v>
      </c>
      <c r="P509" s="49">
        <f>O509+P494</f>
        <v>0</v>
      </c>
      <c r="Q509" s="48">
        <f>Q507*Q508</f>
        <v>0</v>
      </c>
      <c r="R509" s="49">
        <f>Q509+R494</f>
        <v>0</v>
      </c>
      <c r="S509" s="48">
        <f>S507*S508</f>
        <v>0</v>
      </c>
      <c r="T509" s="49">
        <f>S509+T494</f>
        <v>0</v>
      </c>
      <c r="U509" s="48">
        <f>U507*U508</f>
        <v>0</v>
      </c>
      <c r="V509" s="49">
        <f>U509+V494</f>
        <v>0</v>
      </c>
      <c r="AF509" s="34"/>
      <c r="AG509" s="34"/>
      <c r="AH509" s="34"/>
      <c r="AI509" s="34"/>
      <c r="AJ509" s="34"/>
      <c r="AL509" s="5">
        <f>MAX(I509,K509,M509,O509,Q509,S509,U509)</f>
        <v>0</v>
      </c>
      <c r="AM509" s="5">
        <f>MIN(I509,K509,M509,O509,Q509,S509,U509)</f>
        <v>0</v>
      </c>
      <c r="AN509" s="5"/>
      <c r="AO509" s="5"/>
      <c r="AP509" s="5"/>
      <c r="AQ509" s="5"/>
      <c r="AR509" s="5"/>
      <c r="AS509" s="13"/>
      <c r="AT509" s="5"/>
      <c r="AU509" s="5"/>
      <c r="AV509" s="5"/>
      <c r="AW509" s="5"/>
      <c r="AX509" s="5"/>
      <c r="AY509" s="5"/>
      <c r="AZ509" s="5"/>
      <c r="BA509" s="5"/>
      <c r="BB509" s="5"/>
      <c r="BD509" s="5"/>
      <c r="BE509" s="5"/>
      <c r="BF509" s="14"/>
      <c r="BG509" s="13"/>
      <c r="BH509" s="5"/>
      <c r="BI509" s="14"/>
      <c r="BJ509" s="13"/>
      <c r="BK509" s="5"/>
      <c r="BL509" s="14"/>
      <c r="BM509" s="13"/>
      <c r="BN509" s="5"/>
      <c r="BO509" s="14"/>
      <c r="BP509" s="13"/>
      <c r="BQ509" s="5"/>
      <c r="BR509" s="14"/>
      <c r="BS509" s="13"/>
      <c r="BT509" s="5"/>
      <c r="BU509" s="14"/>
      <c r="BV509" s="13"/>
      <c r="BW509" s="5"/>
      <c r="BX509" s="14"/>
      <c r="BY509" s="13"/>
      <c r="BZ509" s="5"/>
      <c r="CA509" s="14"/>
      <c r="CB509" s="13"/>
      <c r="CC509" s="5"/>
      <c r="CD509" s="14"/>
      <c r="CE509" s="13"/>
      <c r="CF509" s="5"/>
      <c r="CG509" s="14"/>
      <c r="CH509" s="13"/>
      <c r="CI509" s="5"/>
      <c r="CJ509" s="14"/>
      <c r="CK509" s="13"/>
      <c r="CL509" s="5"/>
      <c r="CM509" s="14"/>
      <c r="CN509" s="13"/>
      <c r="CO509" s="5"/>
      <c r="CP509" s="14"/>
      <c r="CQ509" s="13"/>
      <c r="CR509" s="5"/>
      <c r="CS509" s="14"/>
      <c r="CT509" s="13"/>
      <c r="CU509" s="5"/>
      <c r="CV509" s="14"/>
      <c r="CW509" s="13"/>
      <c r="CX509" s="5"/>
      <c r="CY509" s="14"/>
      <c r="CZ509" s="13"/>
      <c r="DA509" s="5"/>
      <c r="DB509" s="14"/>
      <c r="DC509" s="13"/>
      <c r="DD509" s="5"/>
      <c r="DE509" s="14"/>
      <c r="DF509" s="5"/>
      <c r="DG509" s="5"/>
      <c r="DH509" s="5"/>
    </row>
    <row r="510" spans="3:122" ht="11.25" customHeight="1" thickTop="1" x14ac:dyDescent="0.2">
      <c r="I510" s="50"/>
      <c r="J510" s="50">
        <f>L509-J509</f>
        <v>0</v>
      </c>
      <c r="K510" s="50"/>
      <c r="L510" s="50"/>
      <c r="M510" s="50"/>
      <c r="N510" s="50">
        <f>L509-N509</f>
        <v>0</v>
      </c>
      <c r="O510" s="50"/>
      <c r="P510" s="50">
        <f>L509-P509</f>
        <v>0</v>
      </c>
      <c r="Q510" s="50"/>
      <c r="R510" s="50">
        <f>L509-R509</f>
        <v>0</v>
      </c>
      <c r="S510" s="50"/>
      <c r="T510" s="50">
        <f>L509-T509</f>
        <v>0</v>
      </c>
      <c r="U510" s="50"/>
      <c r="V510" s="50">
        <f>L509-V509</f>
        <v>0</v>
      </c>
    </row>
  </sheetData>
  <mergeCells count="986">
    <mergeCell ref="BS1:BU1"/>
    <mergeCell ref="BV1:BX1"/>
    <mergeCell ref="BY1:CA1"/>
    <mergeCell ref="O1:P1"/>
    <mergeCell ref="Q1:R1"/>
    <mergeCell ref="S1:T1"/>
    <mergeCell ref="U1:V1"/>
    <mergeCell ref="BD1:BF1"/>
    <mergeCell ref="BG1:BI1"/>
    <mergeCell ref="BJ1:BL1"/>
    <mergeCell ref="BM1:BO1"/>
    <mergeCell ref="BP1:BR1"/>
    <mergeCell ref="DC1:DE1"/>
    <mergeCell ref="DN2:DO2"/>
    <mergeCell ref="DP2:DQ2"/>
    <mergeCell ref="F13:H13"/>
    <mergeCell ref="F14:H14"/>
    <mergeCell ref="I16:J16"/>
    <mergeCell ref="K16:L16"/>
    <mergeCell ref="M16:N16"/>
    <mergeCell ref="O16:P16"/>
    <mergeCell ref="Q16:R16"/>
    <mergeCell ref="S16:T16"/>
    <mergeCell ref="U16:V16"/>
    <mergeCell ref="BD16:BF16"/>
    <mergeCell ref="BG16:BI16"/>
    <mergeCell ref="BJ16:BL16"/>
    <mergeCell ref="BM16:BO16"/>
    <mergeCell ref="BP16:BR16"/>
    <mergeCell ref="BS16:BU16"/>
    <mergeCell ref="BV16:BX16"/>
    <mergeCell ref="BY16:CA16"/>
    <mergeCell ref="CB16:CD16"/>
    <mergeCell ref="I1:J1"/>
    <mergeCell ref="K1:L1"/>
    <mergeCell ref="M1:N1"/>
    <mergeCell ref="CB1:CD1"/>
    <mergeCell ref="CE1:CG1"/>
    <mergeCell ref="CH1:CJ1"/>
    <mergeCell ref="CK1:CM1"/>
    <mergeCell ref="CN1:CP1"/>
    <mergeCell ref="CQ1:CS1"/>
    <mergeCell ref="CT1:CV1"/>
    <mergeCell ref="CW1:CY1"/>
    <mergeCell ref="CZ1:DB1"/>
    <mergeCell ref="DN17:DO17"/>
    <mergeCell ref="DP17:DQ17"/>
    <mergeCell ref="F28:H28"/>
    <mergeCell ref="F29:H29"/>
    <mergeCell ref="I31:J31"/>
    <mergeCell ref="K31:L31"/>
    <mergeCell ref="M31:N31"/>
    <mergeCell ref="O31:P31"/>
    <mergeCell ref="Q31:R31"/>
    <mergeCell ref="S31:T31"/>
    <mergeCell ref="U31:V31"/>
    <mergeCell ref="BD31:BF31"/>
    <mergeCell ref="BG31:BI31"/>
    <mergeCell ref="BJ31:BL31"/>
    <mergeCell ref="BM31:BO31"/>
    <mergeCell ref="BP31:BR31"/>
    <mergeCell ref="BS31:BU31"/>
    <mergeCell ref="BV31:BX31"/>
    <mergeCell ref="BY31:CA31"/>
    <mergeCell ref="CB31:CD31"/>
    <mergeCell ref="CE31:CG31"/>
    <mergeCell ref="CH31:CJ31"/>
    <mergeCell ref="CK31:CM31"/>
    <mergeCell ref="CN31:CP31"/>
    <mergeCell ref="CE16:CG16"/>
    <mergeCell ref="CH16:CJ16"/>
    <mergeCell ref="CK16:CM16"/>
    <mergeCell ref="CN16:CP16"/>
    <mergeCell ref="CQ16:CS16"/>
    <mergeCell ref="CT16:CV16"/>
    <mergeCell ref="CW16:CY16"/>
    <mergeCell ref="CZ16:DB16"/>
    <mergeCell ref="DC16:DE16"/>
    <mergeCell ref="DP32:DQ32"/>
    <mergeCell ref="F43:H43"/>
    <mergeCell ref="F44:H44"/>
    <mergeCell ref="I46:J46"/>
    <mergeCell ref="K46:L46"/>
    <mergeCell ref="M46:N46"/>
    <mergeCell ref="O46:P46"/>
    <mergeCell ref="Q46:R46"/>
    <mergeCell ref="S46:T46"/>
    <mergeCell ref="U46:V46"/>
    <mergeCell ref="BD46:BF46"/>
    <mergeCell ref="BG46:BI46"/>
    <mergeCell ref="BJ46:BL46"/>
    <mergeCell ref="BM46:BO46"/>
    <mergeCell ref="BP46:BR46"/>
    <mergeCell ref="BS46:BU46"/>
    <mergeCell ref="BV46:BX46"/>
    <mergeCell ref="BY46:CA46"/>
    <mergeCell ref="CB46:CD46"/>
    <mergeCell ref="CE46:CG46"/>
    <mergeCell ref="CH46:CJ46"/>
    <mergeCell ref="CQ31:CS31"/>
    <mergeCell ref="CT31:CV31"/>
    <mergeCell ref="CW31:CY31"/>
    <mergeCell ref="CZ31:DB31"/>
    <mergeCell ref="DC31:DE31"/>
    <mergeCell ref="DN32:DO32"/>
    <mergeCell ref="F58:H58"/>
    <mergeCell ref="F59:H59"/>
    <mergeCell ref="I61:J61"/>
    <mergeCell ref="K61:L61"/>
    <mergeCell ref="M61:N61"/>
    <mergeCell ref="O61:P61"/>
    <mergeCell ref="Q61:R61"/>
    <mergeCell ref="S61:T61"/>
    <mergeCell ref="U61:V61"/>
    <mergeCell ref="CK46:CM46"/>
    <mergeCell ref="CN46:CP46"/>
    <mergeCell ref="CQ46:CS46"/>
    <mergeCell ref="CT46:CV46"/>
    <mergeCell ref="CW46:CY46"/>
    <mergeCell ref="CZ46:DB46"/>
    <mergeCell ref="DC46:DE46"/>
    <mergeCell ref="DN47:DO47"/>
    <mergeCell ref="DP47:DQ47"/>
    <mergeCell ref="BG76:BI76"/>
    <mergeCell ref="BJ76:BL76"/>
    <mergeCell ref="BM76:BO76"/>
    <mergeCell ref="BP76:BR76"/>
    <mergeCell ref="BS76:BU76"/>
    <mergeCell ref="BV76:BX76"/>
    <mergeCell ref="BY76:CA76"/>
    <mergeCell ref="CB76:CD76"/>
    <mergeCell ref="CE76:CG76"/>
    <mergeCell ref="CN61:CP61"/>
    <mergeCell ref="CQ61:CS61"/>
    <mergeCell ref="CT61:CV61"/>
    <mergeCell ref="CW61:CY61"/>
    <mergeCell ref="CZ61:DB61"/>
    <mergeCell ref="DC61:DE61"/>
    <mergeCell ref="DN62:DO62"/>
    <mergeCell ref="DP62:DQ62"/>
    <mergeCell ref="CB61:CD61"/>
    <mergeCell ref="CE61:CG61"/>
    <mergeCell ref="CH61:CJ61"/>
    <mergeCell ref="CK61:CM61"/>
    <mergeCell ref="CZ76:DB76"/>
    <mergeCell ref="DC76:DE76"/>
    <mergeCell ref="F74:H74"/>
    <mergeCell ref="I76:J76"/>
    <mergeCell ref="K76:L76"/>
    <mergeCell ref="M76:N76"/>
    <mergeCell ref="O76:P76"/>
    <mergeCell ref="Q76:R76"/>
    <mergeCell ref="S76:T76"/>
    <mergeCell ref="U76:V76"/>
    <mergeCell ref="BD76:BF76"/>
    <mergeCell ref="F73:H73"/>
    <mergeCell ref="BD61:BF61"/>
    <mergeCell ref="BG61:BI61"/>
    <mergeCell ref="BJ61:BL61"/>
    <mergeCell ref="BM61:BO61"/>
    <mergeCell ref="BP61:BR61"/>
    <mergeCell ref="BS61:BU61"/>
    <mergeCell ref="BV61:BX61"/>
    <mergeCell ref="BY61:CA61"/>
    <mergeCell ref="DN77:DO77"/>
    <mergeCell ref="DP77:DQ77"/>
    <mergeCell ref="F88:H88"/>
    <mergeCell ref="F89:H89"/>
    <mergeCell ref="I91:J91"/>
    <mergeCell ref="K91:L91"/>
    <mergeCell ref="M91:N91"/>
    <mergeCell ref="O91:P91"/>
    <mergeCell ref="Q91:R91"/>
    <mergeCell ref="S91:T91"/>
    <mergeCell ref="U91:V91"/>
    <mergeCell ref="BD91:BF91"/>
    <mergeCell ref="BG91:BI91"/>
    <mergeCell ref="BJ91:BL91"/>
    <mergeCell ref="BM91:BO91"/>
    <mergeCell ref="BP91:BR91"/>
    <mergeCell ref="BS91:BU91"/>
    <mergeCell ref="BV91:BX91"/>
    <mergeCell ref="BY91:CA91"/>
    <mergeCell ref="CB91:CD91"/>
    <mergeCell ref="CE91:CG91"/>
    <mergeCell ref="CH91:CJ91"/>
    <mergeCell ref="CZ91:DB91"/>
    <mergeCell ref="DC91:DE91"/>
    <mergeCell ref="CH106:CJ106"/>
    <mergeCell ref="CK106:CM106"/>
    <mergeCell ref="CN106:CP106"/>
    <mergeCell ref="CQ106:CS106"/>
    <mergeCell ref="CT106:CV106"/>
    <mergeCell ref="CQ76:CS76"/>
    <mergeCell ref="CT76:CV76"/>
    <mergeCell ref="CW76:CY76"/>
    <mergeCell ref="CK91:CM91"/>
    <mergeCell ref="CN91:CP91"/>
    <mergeCell ref="CQ91:CS91"/>
    <mergeCell ref="CH76:CJ76"/>
    <mergeCell ref="CK76:CM76"/>
    <mergeCell ref="CN76:CP76"/>
    <mergeCell ref="CT91:CV91"/>
    <mergeCell ref="CW91:CY91"/>
    <mergeCell ref="DN92:DO92"/>
    <mergeCell ref="DP92:DQ92"/>
    <mergeCell ref="F103:H103"/>
    <mergeCell ref="F104:H104"/>
    <mergeCell ref="I106:J106"/>
    <mergeCell ref="K106:L106"/>
    <mergeCell ref="M106:N106"/>
    <mergeCell ref="O106:P106"/>
    <mergeCell ref="Q106:R106"/>
    <mergeCell ref="S106:T106"/>
    <mergeCell ref="U106:V106"/>
    <mergeCell ref="BD106:BF106"/>
    <mergeCell ref="BG106:BI106"/>
    <mergeCell ref="BJ106:BL106"/>
    <mergeCell ref="BM106:BO106"/>
    <mergeCell ref="BP106:BR106"/>
    <mergeCell ref="BS106:BU106"/>
    <mergeCell ref="BV106:BX106"/>
    <mergeCell ref="BY106:CA106"/>
    <mergeCell ref="CB106:CD106"/>
    <mergeCell ref="CW106:CY106"/>
    <mergeCell ref="CZ106:DB106"/>
    <mergeCell ref="DC106:DE106"/>
    <mergeCell ref="CE106:CG106"/>
    <mergeCell ref="DN107:DO107"/>
    <mergeCell ref="DP107:DQ107"/>
    <mergeCell ref="F118:H118"/>
    <mergeCell ref="F119:H119"/>
    <mergeCell ref="I121:J121"/>
    <mergeCell ref="K121:L121"/>
    <mergeCell ref="M121:N121"/>
    <mergeCell ref="O121:P121"/>
    <mergeCell ref="Q121:R121"/>
    <mergeCell ref="S121:T121"/>
    <mergeCell ref="U121:V121"/>
    <mergeCell ref="BD121:BF121"/>
    <mergeCell ref="BG121:BI121"/>
    <mergeCell ref="BJ121:BL121"/>
    <mergeCell ref="BM121:BO121"/>
    <mergeCell ref="BP121:BR121"/>
    <mergeCell ref="BS121:BU121"/>
    <mergeCell ref="BV121:BX121"/>
    <mergeCell ref="BY121:CA121"/>
    <mergeCell ref="CB121:CD121"/>
    <mergeCell ref="CE121:CG121"/>
    <mergeCell ref="DN122:DO122"/>
    <mergeCell ref="DP122:DQ122"/>
    <mergeCell ref="F133:H133"/>
    <mergeCell ref="F134:H134"/>
    <mergeCell ref="I136:J136"/>
    <mergeCell ref="K136:L136"/>
    <mergeCell ref="M136:N136"/>
    <mergeCell ref="O136:P136"/>
    <mergeCell ref="Q136:R136"/>
    <mergeCell ref="S136:T136"/>
    <mergeCell ref="U136:V136"/>
    <mergeCell ref="BD136:BF136"/>
    <mergeCell ref="BG136:BI136"/>
    <mergeCell ref="BJ136:BL136"/>
    <mergeCell ref="BM136:BO136"/>
    <mergeCell ref="BP136:BR136"/>
    <mergeCell ref="BS136:BU136"/>
    <mergeCell ref="BV136:BX136"/>
    <mergeCell ref="BY136:CA136"/>
    <mergeCell ref="CB136:CD136"/>
    <mergeCell ref="CE136:CG136"/>
    <mergeCell ref="CH136:CJ136"/>
    <mergeCell ref="CK136:CM136"/>
    <mergeCell ref="CN136:CP136"/>
    <mergeCell ref="CH151:CJ151"/>
    <mergeCell ref="CK151:CM151"/>
    <mergeCell ref="CN151:CP151"/>
    <mergeCell ref="CQ151:CS151"/>
    <mergeCell ref="CT151:CV151"/>
    <mergeCell ref="CW151:CY151"/>
    <mergeCell ref="CZ151:DB151"/>
    <mergeCell ref="DC151:DE151"/>
    <mergeCell ref="CZ121:DB121"/>
    <mergeCell ref="DC121:DE121"/>
    <mergeCell ref="CQ136:CS136"/>
    <mergeCell ref="CT136:CV136"/>
    <mergeCell ref="CW136:CY136"/>
    <mergeCell ref="CZ136:DB136"/>
    <mergeCell ref="CH121:CJ121"/>
    <mergeCell ref="CK121:CM121"/>
    <mergeCell ref="CN121:CP121"/>
    <mergeCell ref="CQ121:CS121"/>
    <mergeCell ref="CT121:CV121"/>
    <mergeCell ref="CW121:CY121"/>
    <mergeCell ref="CZ166:DB166"/>
    <mergeCell ref="DC166:DE166"/>
    <mergeCell ref="DC136:DE136"/>
    <mergeCell ref="DN137:DO137"/>
    <mergeCell ref="DP137:DQ137"/>
    <mergeCell ref="F148:H148"/>
    <mergeCell ref="F149:H149"/>
    <mergeCell ref="I151:J151"/>
    <mergeCell ref="K151:L151"/>
    <mergeCell ref="M151:N151"/>
    <mergeCell ref="O151:P151"/>
    <mergeCell ref="Q151:R151"/>
    <mergeCell ref="S151:T151"/>
    <mergeCell ref="U151:V151"/>
    <mergeCell ref="BD151:BF151"/>
    <mergeCell ref="BG151:BI151"/>
    <mergeCell ref="BJ151:BL151"/>
    <mergeCell ref="BM151:BO151"/>
    <mergeCell ref="BP151:BR151"/>
    <mergeCell ref="BS151:BU151"/>
    <mergeCell ref="BV151:BX151"/>
    <mergeCell ref="BY151:CA151"/>
    <mergeCell ref="CB151:CD151"/>
    <mergeCell ref="CE151:CG151"/>
    <mergeCell ref="BY166:CA166"/>
    <mergeCell ref="CB166:CD166"/>
    <mergeCell ref="CE166:CG166"/>
    <mergeCell ref="CH166:CJ166"/>
    <mergeCell ref="CK166:CM166"/>
    <mergeCell ref="CN166:CP166"/>
    <mergeCell ref="CQ166:CS166"/>
    <mergeCell ref="CT166:CV166"/>
    <mergeCell ref="CW166:CY166"/>
    <mergeCell ref="CN181:CP181"/>
    <mergeCell ref="CQ181:CS181"/>
    <mergeCell ref="CT181:CV181"/>
    <mergeCell ref="CW181:CY181"/>
    <mergeCell ref="CZ181:DB181"/>
    <mergeCell ref="DC181:DE181"/>
    <mergeCell ref="DN152:DO152"/>
    <mergeCell ref="DP152:DQ152"/>
    <mergeCell ref="F163:H163"/>
    <mergeCell ref="F164:H164"/>
    <mergeCell ref="I166:J166"/>
    <mergeCell ref="K166:L166"/>
    <mergeCell ref="M166:N166"/>
    <mergeCell ref="O166:P166"/>
    <mergeCell ref="Q166:R166"/>
    <mergeCell ref="S166:T166"/>
    <mergeCell ref="U166:V166"/>
    <mergeCell ref="BD166:BF166"/>
    <mergeCell ref="BG166:BI166"/>
    <mergeCell ref="BJ166:BL166"/>
    <mergeCell ref="BM166:BO166"/>
    <mergeCell ref="BP166:BR166"/>
    <mergeCell ref="BS166:BU166"/>
    <mergeCell ref="BV166:BX166"/>
    <mergeCell ref="DC196:DE196"/>
    <mergeCell ref="DN167:DO167"/>
    <mergeCell ref="DP167:DQ167"/>
    <mergeCell ref="F178:H178"/>
    <mergeCell ref="F179:H179"/>
    <mergeCell ref="I181:J181"/>
    <mergeCell ref="K181:L181"/>
    <mergeCell ref="M181:N181"/>
    <mergeCell ref="O181:P181"/>
    <mergeCell ref="Q181:R181"/>
    <mergeCell ref="S181:T181"/>
    <mergeCell ref="U181:V181"/>
    <mergeCell ref="BD181:BF181"/>
    <mergeCell ref="BG181:BI181"/>
    <mergeCell ref="BJ181:BL181"/>
    <mergeCell ref="BM181:BO181"/>
    <mergeCell ref="BP181:BR181"/>
    <mergeCell ref="BS181:BU181"/>
    <mergeCell ref="BV181:BX181"/>
    <mergeCell ref="BY181:CA181"/>
    <mergeCell ref="CB181:CD181"/>
    <mergeCell ref="CE181:CG181"/>
    <mergeCell ref="CH181:CJ181"/>
    <mergeCell ref="CK181:CM181"/>
    <mergeCell ref="CB196:CD196"/>
    <mergeCell ref="CE196:CG196"/>
    <mergeCell ref="CH196:CJ196"/>
    <mergeCell ref="CK196:CM196"/>
    <mergeCell ref="CN196:CP196"/>
    <mergeCell ref="CQ196:CS196"/>
    <mergeCell ref="CT196:CV196"/>
    <mergeCell ref="CW196:CY196"/>
    <mergeCell ref="CZ196:DB196"/>
    <mergeCell ref="CQ211:CS211"/>
    <mergeCell ref="CT211:CV211"/>
    <mergeCell ref="CW211:CY211"/>
    <mergeCell ref="CZ211:DB211"/>
    <mergeCell ref="DC211:DE211"/>
    <mergeCell ref="DN182:DO182"/>
    <mergeCell ref="DP182:DQ182"/>
    <mergeCell ref="F193:H193"/>
    <mergeCell ref="F194:H194"/>
    <mergeCell ref="I196:J196"/>
    <mergeCell ref="K196:L196"/>
    <mergeCell ref="M196:N196"/>
    <mergeCell ref="O196:P196"/>
    <mergeCell ref="Q196:R196"/>
    <mergeCell ref="S196:T196"/>
    <mergeCell ref="U196:V196"/>
    <mergeCell ref="BD196:BF196"/>
    <mergeCell ref="BG196:BI196"/>
    <mergeCell ref="BJ196:BL196"/>
    <mergeCell ref="BM196:BO196"/>
    <mergeCell ref="BP196:BR196"/>
    <mergeCell ref="BS196:BU196"/>
    <mergeCell ref="BV196:BX196"/>
    <mergeCell ref="BY196:CA196"/>
    <mergeCell ref="DN197:DO197"/>
    <mergeCell ref="DP197:DQ197"/>
    <mergeCell ref="F208:H208"/>
    <mergeCell ref="F209:H209"/>
    <mergeCell ref="I211:J211"/>
    <mergeCell ref="K211:L211"/>
    <mergeCell ref="M211:N211"/>
    <mergeCell ref="O211:P211"/>
    <mergeCell ref="Q211:R211"/>
    <mergeCell ref="S211:T211"/>
    <mergeCell ref="U211:V211"/>
    <mergeCell ref="BD211:BF211"/>
    <mergeCell ref="BG211:BI211"/>
    <mergeCell ref="BJ211:BL211"/>
    <mergeCell ref="BM211:BO211"/>
    <mergeCell ref="BP211:BR211"/>
    <mergeCell ref="BS211:BU211"/>
    <mergeCell ref="BV211:BX211"/>
    <mergeCell ref="BY211:CA211"/>
    <mergeCell ref="CB211:CD211"/>
    <mergeCell ref="CE211:CG211"/>
    <mergeCell ref="CH211:CJ211"/>
    <mergeCell ref="CK211:CM211"/>
    <mergeCell ref="CN211:CP211"/>
    <mergeCell ref="CE226:CG226"/>
    <mergeCell ref="CH226:CJ226"/>
    <mergeCell ref="CK226:CM226"/>
    <mergeCell ref="CN226:CP226"/>
    <mergeCell ref="CQ226:CS226"/>
    <mergeCell ref="CT226:CV226"/>
    <mergeCell ref="CW226:CY226"/>
    <mergeCell ref="CZ226:DB226"/>
    <mergeCell ref="DC226:DE226"/>
    <mergeCell ref="BD226:BF226"/>
    <mergeCell ref="BG226:BI226"/>
    <mergeCell ref="BJ226:BL226"/>
    <mergeCell ref="BM226:BO226"/>
    <mergeCell ref="BP226:BR226"/>
    <mergeCell ref="BS226:BU226"/>
    <mergeCell ref="BV226:BX226"/>
    <mergeCell ref="BY226:CA226"/>
    <mergeCell ref="CB226:CD226"/>
    <mergeCell ref="F223:H223"/>
    <mergeCell ref="F224:H224"/>
    <mergeCell ref="I226:J226"/>
    <mergeCell ref="K226:L226"/>
    <mergeCell ref="M226:N226"/>
    <mergeCell ref="O226:P226"/>
    <mergeCell ref="Q226:R226"/>
    <mergeCell ref="S226:T226"/>
    <mergeCell ref="U226:V226"/>
    <mergeCell ref="CK241:CM241"/>
    <mergeCell ref="CN241:CP241"/>
    <mergeCell ref="CQ241:CS241"/>
    <mergeCell ref="CT241:CV241"/>
    <mergeCell ref="CW241:CY241"/>
    <mergeCell ref="CZ241:DB241"/>
    <mergeCell ref="DC241:DE241"/>
    <mergeCell ref="DN212:DO212"/>
    <mergeCell ref="DP212:DQ212"/>
    <mergeCell ref="CZ256:DB256"/>
    <mergeCell ref="DC256:DE256"/>
    <mergeCell ref="DN227:DO227"/>
    <mergeCell ref="DP227:DQ227"/>
    <mergeCell ref="F238:H238"/>
    <mergeCell ref="F239:H239"/>
    <mergeCell ref="I241:J241"/>
    <mergeCell ref="K241:L241"/>
    <mergeCell ref="M241:N241"/>
    <mergeCell ref="O241:P241"/>
    <mergeCell ref="Q241:R241"/>
    <mergeCell ref="S241:T241"/>
    <mergeCell ref="U241:V241"/>
    <mergeCell ref="BD241:BF241"/>
    <mergeCell ref="BG241:BI241"/>
    <mergeCell ref="BJ241:BL241"/>
    <mergeCell ref="BM241:BO241"/>
    <mergeCell ref="BP241:BR241"/>
    <mergeCell ref="BS241:BU241"/>
    <mergeCell ref="BV241:BX241"/>
    <mergeCell ref="BY241:CA241"/>
    <mergeCell ref="CB241:CD241"/>
    <mergeCell ref="CE241:CG241"/>
    <mergeCell ref="CH241:CJ241"/>
    <mergeCell ref="BY256:CA256"/>
    <mergeCell ref="CB256:CD256"/>
    <mergeCell ref="CE256:CG256"/>
    <mergeCell ref="CH256:CJ256"/>
    <mergeCell ref="CK256:CM256"/>
    <mergeCell ref="CN256:CP256"/>
    <mergeCell ref="CQ256:CS256"/>
    <mergeCell ref="CT256:CV256"/>
    <mergeCell ref="CW256:CY256"/>
    <mergeCell ref="CN271:CP271"/>
    <mergeCell ref="CQ271:CS271"/>
    <mergeCell ref="CT271:CV271"/>
    <mergeCell ref="CW271:CY271"/>
    <mergeCell ref="CZ271:DB271"/>
    <mergeCell ref="DC271:DE271"/>
    <mergeCell ref="DN242:DO242"/>
    <mergeCell ref="DP242:DQ242"/>
    <mergeCell ref="F253:H253"/>
    <mergeCell ref="F254:H254"/>
    <mergeCell ref="I256:J256"/>
    <mergeCell ref="K256:L256"/>
    <mergeCell ref="M256:N256"/>
    <mergeCell ref="O256:P256"/>
    <mergeCell ref="Q256:R256"/>
    <mergeCell ref="S256:T256"/>
    <mergeCell ref="U256:V256"/>
    <mergeCell ref="BD256:BF256"/>
    <mergeCell ref="BG256:BI256"/>
    <mergeCell ref="BJ256:BL256"/>
    <mergeCell ref="BM256:BO256"/>
    <mergeCell ref="BP256:BR256"/>
    <mergeCell ref="BS256:BU256"/>
    <mergeCell ref="BV256:BX256"/>
    <mergeCell ref="DC286:DE286"/>
    <mergeCell ref="DN257:DO257"/>
    <mergeCell ref="DP257:DQ257"/>
    <mergeCell ref="F268:H268"/>
    <mergeCell ref="F269:H269"/>
    <mergeCell ref="I271:J271"/>
    <mergeCell ref="K271:L271"/>
    <mergeCell ref="M271:N271"/>
    <mergeCell ref="O271:P271"/>
    <mergeCell ref="Q271:R271"/>
    <mergeCell ref="S271:T271"/>
    <mergeCell ref="U271:V271"/>
    <mergeCell ref="BD271:BF271"/>
    <mergeCell ref="BG271:BI271"/>
    <mergeCell ref="BJ271:BL271"/>
    <mergeCell ref="BM271:BO271"/>
    <mergeCell ref="BP271:BR271"/>
    <mergeCell ref="BS271:BU271"/>
    <mergeCell ref="BV271:BX271"/>
    <mergeCell ref="BY271:CA271"/>
    <mergeCell ref="CB271:CD271"/>
    <mergeCell ref="CE271:CG271"/>
    <mergeCell ref="CH271:CJ271"/>
    <mergeCell ref="CK271:CM271"/>
    <mergeCell ref="CB286:CD286"/>
    <mergeCell ref="CE286:CG286"/>
    <mergeCell ref="CH286:CJ286"/>
    <mergeCell ref="CK286:CM286"/>
    <mergeCell ref="CN286:CP286"/>
    <mergeCell ref="CQ286:CS286"/>
    <mergeCell ref="CT286:CV286"/>
    <mergeCell ref="CW286:CY286"/>
    <mergeCell ref="CZ286:DB286"/>
    <mergeCell ref="CQ301:CS301"/>
    <mergeCell ref="CT301:CV301"/>
    <mergeCell ref="CW301:CY301"/>
    <mergeCell ref="CZ301:DB301"/>
    <mergeCell ref="DC301:DE301"/>
    <mergeCell ref="DN272:DO272"/>
    <mergeCell ref="DP272:DQ272"/>
    <mergeCell ref="F283:H283"/>
    <mergeCell ref="F284:H284"/>
    <mergeCell ref="I286:J286"/>
    <mergeCell ref="K286:L286"/>
    <mergeCell ref="M286:N286"/>
    <mergeCell ref="O286:P286"/>
    <mergeCell ref="Q286:R286"/>
    <mergeCell ref="S286:T286"/>
    <mergeCell ref="U286:V286"/>
    <mergeCell ref="BD286:BF286"/>
    <mergeCell ref="BG286:BI286"/>
    <mergeCell ref="BJ286:BL286"/>
    <mergeCell ref="BM286:BO286"/>
    <mergeCell ref="BP286:BR286"/>
    <mergeCell ref="BS286:BU286"/>
    <mergeCell ref="BV286:BX286"/>
    <mergeCell ref="BY286:CA286"/>
    <mergeCell ref="DN287:DO287"/>
    <mergeCell ref="DP287:DQ287"/>
    <mergeCell ref="F298:H298"/>
    <mergeCell ref="F299:H299"/>
    <mergeCell ref="I301:J301"/>
    <mergeCell ref="K301:L301"/>
    <mergeCell ref="M301:N301"/>
    <mergeCell ref="O301:P301"/>
    <mergeCell ref="Q301:R301"/>
    <mergeCell ref="S301:T301"/>
    <mergeCell ref="U301:V301"/>
    <mergeCell ref="BD301:BF301"/>
    <mergeCell ref="BG301:BI301"/>
    <mergeCell ref="BJ301:BL301"/>
    <mergeCell ref="BM301:BO301"/>
    <mergeCell ref="BP301:BR301"/>
    <mergeCell ref="BS301:BU301"/>
    <mergeCell ref="BV301:BX301"/>
    <mergeCell ref="BY301:CA301"/>
    <mergeCell ref="CB301:CD301"/>
    <mergeCell ref="CE301:CG301"/>
    <mergeCell ref="CH301:CJ301"/>
    <mergeCell ref="CK301:CM301"/>
    <mergeCell ref="CN301:CP301"/>
    <mergeCell ref="CE316:CG316"/>
    <mergeCell ref="CH316:CJ316"/>
    <mergeCell ref="CK316:CM316"/>
    <mergeCell ref="CN316:CP316"/>
    <mergeCell ref="CQ316:CS316"/>
    <mergeCell ref="CT316:CV316"/>
    <mergeCell ref="CW316:CY316"/>
    <mergeCell ref="CZ316:DB316"/>
    <mergeCell ref="DC316:DE316"/>
    <mergeCell ref="BD316:BF316"/>
    <mergeCell ref="BG316:BI316"/>
    <mergeCell ref="BJ316:BL316"/>
    <mergeCell ref="BM316:BO316"/>
    <mergeCell ref="BP316:BR316"/>
    <mergeCell ref="BS316:BU316"/>
    <mergeCell ref="BV316:BX316"/>
    <mergeCell ref="BY316:CA316"/>
    <mergeCell ref="CB316:CD316"/>
    <mergeCell ref="F313:H313"/>
    <mergeCell ref="F314:H314"/>
    <mergeCell ref="I316:J316"/>
    <mergeCell ref="K316:L316"/>
    <mergeCell ref="M316:N316"/>
    <mergeCell ref="O316:P316"/>
    <mergeCell ref="Q316:R316"/>
    <mergeCell ref="S316:T316"/>
    <mergeCell ref="U316:V316"/>
    <mergeCell ref="CK331:CM331"/>
    <mergeCell ref="CN331:CP331"/>
    <mergeCell ref="CQ331:CS331"/>
    <mergeCell ref="CT331:CV331"/>
    <mergeCell ref="CW331:CY331"/>
    <mergeCell ref="CZ331:DB331"/>
    <mergeCell ref="DC331:DE331"/>
    <mergeCell ref="DN302:DO302"/>
    <mergeCell ref="DP302:DQ302"/>
    <mergeCell ref="CZ346:DB346"/>
    <mergeCell ref="DC346:DE346"/>
    <mergeCell ref="DN317:DO317"/>
    <mergeCell ref="DP317:DQ317"/>
    <mergeCell ref="F328:H328"/>
    <mergeCell ref="F329:H329"/>
    <mergeCell ref="I331:J331"/>
    <mergeCell ref="K331:L331"/>
    <mergeCell ref="M331:N331"/>
    <mergeCell ref="O331:P331"/>
    <mergeCell ref="Q331:R331"/>
    <mergeCell ref="S331:T331"/>
    <mergeCell ref="U331:V331"/>
    <mergeCell ref="BD331:BF331"/>
    <mergeCell ref="BG331:BI331"/>
    <mergeCell ref="BJ331:BL331"/>
    <mergeCell ref="BM331:BO331"/>
    <mergeCell ref="BP331:BR331"/>
    <mergeCell ref="BS331:BU331"/>
    <mergeCell ref="BV331:BX331"/>
    <mergeCell ref="BY331:CA331"/>
    <mergeCell ref="CB331:CD331"/>
    <mergeCell ref="CE331:CG331"/>
    <mergeCell ref="CH331:CJ331"/>
    <mergeCell ref="BY346:CA346"/>
    <mergeCell ref="CB346:CD346"/>
    <mergeCell ref="CE346:CG346"/>
    <mergeCell ref="CH346:CJ346"/>
    <mergeCell ref="CK346:CM346"/>
    <mergeCell ref="CN346:CP346"/>
    <mergeCell ref="CQ346:CS346"/>
    <mergeCell ref="CT346:CV346"/>
    <mergeCell ref="CW346:CY346"/>
    <mergeCell ref="CN361:CP361"/>
    <mergeCell ref="CQ361:CS361"/>
    <mergeCell ref="CT361:CV361"/>
    <mergeCell ref="CW361:CY361"/>
    <mergeCell ref="CZ361:DB361"/>
    <mergeCell ref="DC361:DE361"/>
    <mergeCell ref="DN332:DO332"/>
    <mergeCell ref="DP332:DQ332"/>
    <mergeCell ref="F343:H343"/>
    <mergeCell ref="F344:H344"/>
    <mergeCell ref="I346:J346"/>
    <mergeCell ref="K346:L346"/>
    <mergeCell ref="M346:N346"/>
    <mergeCell ref="O346:P346"/>
    <mergeCell ref="Q346:R346"/>
    <mergeCell ref="S346:T346"/>
    <mergeCell ref="U346:V346"/>
    <mergeCell ref="BD346:BF346"/>
    <mergeCell ref="BG346:BI346"/>
    <mergeCell ref="BJ346:BL346"/>
    <mergeCell ref="BM346:BO346"/>
    <mergeCell ref="BP346:BR346"/>
    <mergeCell ref="BS346:BU346"/>
    <mergeCell ref="BV346:BX346"/>
    <mergeCell ref="DC376:DE376"/>
    <mergeCell ref="DN347:DO347"/>
    <mergeCell ref="DP347:DQ347"/>
    <mergeCell ref="F358:H358"/>
    <mergeCell ref="F359:H359"/>
    <mergeCell ref="I361:J361"/>
    <mergeCell ref="K361:L361"/>
    <mergeCell ref="M361:N361"/>
    <mergeCell ref="O361:P361"/>
    <mergeCell ref="Q361:R361"/>
    <mergeCell ref="S361:T361"/>
    <mergeCell ref="U361:V361"/>
    <mergeCell ref="BD361:BF361"/>
    <mergeCell ref="BG361:BI361"/>
    <mergeCell ref="BJ361:BL361"/>
    <mergeCell ref="BM361:BO361"/>
    <mergeCell ref="BP361:BR361"/>
    <mergeCell ref="BS361:BU361"/>
    <mergeCell ref="BV361:BX361"/>
    <mergeCell ref="BY361:CA361"/>
    <mergeCell ref="CB361:CD361"/>
    <mergeCell ref="CE361:CG361"/>
    <mergeCell ref="CH361:CJ361"/>
    <mergeCell ref="CK361:CM361"/>
    <mergeCell ref="CB376:CD376"/>
    <mergeCell ref="CE376:CG376"/>
    <mergeCell ref="CH376:CJ376"/>
    <mergeCell ref="CK376:CM376"/>
    <mergeCell ref="CN376:CP376"/>
    <mergeCell ref="CQ376:CS376"/>
    <mergeCell ref="CT376:CV376"/>
    <mergeCell ref="CW376:CY376"/>
    <mergeCell ref="CZ376:DB376"/>
    <mergeCell ref="CQ391:CS391"/>
    <mergeCell ref="CT391:CV391"/>
    <mergeCell ref="CW391:CY391"/>
    <mergeCell ref="CZ391:DB391"/>
    <mergeCell ref="DC391:DE391"/>
    <mergeCell ref="DN362:DO362"/>
    <mergeCell ref="DP362:DQ362"/>
    <mergeCell ref="F373:H373"/>
    <mergeCell ref="F374:H374"/>
    <mergeCell ref="I376:J376"/>
    <mergeCell ref="K376:L376"/>
    <mergeCell ref="M376:N376"/>
    <mergeCell ref="O376:P376"/>
    <mergeCell ref="Q376:R376"/>
    <mergeCell ref="S376:T376"/>
    <mergeCell ref="U376:V376"/>
    <mergeCell ref="BD376:BF376"/>
    <mergeCell ref="BG376:BI376"/>
    <mergeCell ref="BJ376:BL376"/>
    <mergeCell ref="BM376:BO376"/>
    <mergeCell ref="BP376:BR376"/>
    <mergeCell ref="BS376:BU376"/>
    <mergeCell ref="BV376:BX376"/>
    <mergeCell ref="BY376:CA376"/>
    <mergeCell ref="DN377:DO377"/>
    <mergeCell ref="DP377:DQ377"/>
    <mergeCell ref="F388:H388"/>
    <mergeCell ref="F389:H389"/>
    <mergeCell ref="I391:J391"/>
    <mergeCell ref="K391:L391"/>
    <mergeCell ref="M391:N391"/>
    <mergeCell ref="O391:P391"/>
    <mergeCell ref="Q391:R391"/>
    <mergeCell ref="S391:T391"/>
    <mergeCell ref="U391:V391"/>
    <mergeCell ref="BD391:BF391"/>
    <mergeCell ref="BG391:BI391"/>
    <mergeCell ref="BJ391:BL391"/>
    <mergeCell ref="BM391:BO391"/>
    <mergeCell ref="BP391:BR391"/>
    <mergeCell ref="BS391:BU391"/>
    <mergeCell ref="BV391:BX391"/>
    <mergeCell ref="BY391:CA391"/>
    <mergeCell ref="CB391:CD391"/>
    <mergeCell ref="CE391:CG391"/>
    <mergeCell ref="CH391:CJ391"/>
    <mergeCell ref="CK391:CM391"/>
    <mergeCell ref="CN391:CP391"/>
    <mergeCell ref="CE406:CG406"/>
    <mergeCell ref="CH406:CJ406"/>
    <mergeCell ref="CK406:CM406"/>
    <mergeCell ref="CN406:CP406"/>
    <mergeCell ref="CQ406:CS406"/>
    <mergeCell ref="CT406:CV406"/>
    <mergeCell ref="CW406:CY406"/>
    <mergeCell ref="CZ406:DB406"/>
    <mergeCell ref="DC406:DE406"/>
    <mergeCell ref="BD406:BF406"/>
    <mergeCell ref="BG406:BI406"/>
    <mergeCell ref="BJ406:BL406"/>
    <mergeCell ref="BM406:BO406"/>
    <mergeCell ref="BP406:BR406"/>
    <mergeCell ref="BS406:BU406"/>
    <mergeCell ref="BV406:BX406"/>
    <mergeCell ref="BY406:CA406"/>
    <mergeCell ref="CB406:CD406"/>
    <mergeCell ref="F403:H403"/>
    <mergeCell ref="F404:H404"/>
    <mergeCell ref="I406:J406"/>
    <mergeCell ref="K406:L406"/>
    <mergeCell ref="M406:N406"/>
    <mergeCell ref="O406:P406"/>
    <mergeCell ref="Q406:R406"/>
    <mergeCell ref="S406:T406"/>
    <mergeCell ref="U406:V406"/>
    <mergeCell ref="CK421:CM421"/>
    <mergeCell ref="CN421:CP421"/>
    <mergeCell ref="CQ421:CS421"/>
    <mergeCell ref="CT421:CV421"/>
    <mergeCell ref="CW421:CY421"/>
    <mergeCell ref="CZ421:DB421"/>
    <mergeCell ref="DC421:DE421"/>
    <mergeCell ref="DN392:DO392"/>
    <mergeCell ref="DP392:DQ392"/>
    <mergeCell ref="CZ436:DB436"/>
    <mergeCell ref="DC436:DE436"/>
    <mergeCell ref="DN407:DO407"/>
    <mergeCell ref="DP407:DQ407"/>
    <mergeCell ref="F418:H418"/>
    <mergeCell ref="F419:H419"/>
    <mergeCell ref="I421:J421"/>
    <mergeCell ref="K421:L421"/>
    <mergeCell ref="M421:N421"/>
    <mergeCell ref="O421:P421"/>
    <mergeCell ref="Q421:R421"/>
    <mergeCell ref="S421:T421"/>
    <mergeCell ref="U421:V421"/>
    <mergeCell ref="BD421:BF421"/>
    <mergeCell ref="BG421:BI421"/>
    <mergeCell ref="BJ421:BL421"/>
    <mergeCell ref="BM421:BO421"/>
    <mergeCell ref="BP421:BR421"/>
    <mergeCell ref="BS421:BU421"/>
    <mergeCell ref="BV421:BX421"/>
    <mergeCell ref="BY421:CA421"/>
    <mergeCell ref="CB421:CD421"/>
    <mergeCell ref="CE421:CG421"/>
    <mergeCell ref="CH421:CJ421"/>
    <mergeCell ref="BY436:CA436"/>
    <mergeCell ref="CB436:CD436"/>
    <mergeCell ref="CE436:CG436"/>
    <mergeCell ref="CH436:CJ436"/>
    <mergeCell ref="CK436:CM436"/>
    <mergeCell ref="CN436:CP436"/>
    <mergeCell ref="CQ436:CS436"/>
    <mergeCell ref="CT436:CV436"/>
    <mergeCell ref="CW436:CY436"/>
    <mergeCell ref="CN451:CP451"/>
    <mergeCell ref="CQ451:CS451"/>
    <mergeCell ref="CT451:CV451"/>
    <mergeCell ref="CW451:CY451"/>
    <mergeCell ref="CZ451:DB451"/>
    <mergeCell ref="DC451:DE451"/>
    <mergeCell ref="DN422:DO422"/>
    <mergeCell ref="DP422:DQ422"/>
    <mergeCell ref="F433:H433"/>
    <mergeCell ref="F434:H434"/>
    <mergeCell ref="I436:J436"/>
    <mergeCell ref="K436:L436"/>
    <mergeCell ref="M436:N436"/>
    <mergeCell ref="O436:P436"/>
    <mergeCell ref="Q436:R436"/>
    <mergeCell ref="S436:T436"/>
    <mergeCell ref="U436:V436"/>
    <mergeCell ref="BD436:BF436"/>
    <mergeCell ref="BG436:BI436"/>
    <mergeCell ref="BJ436:BL436"/>
    <mergeCell ref="BM436:BO436"/>
    <mergeCell ref="BP436:BR436"/>
    <mergeCell ref="BS436:BU436"/>
    <mergeCell ref="BV436:BX436"/>
    <mergeCell ref="DC466:DE466"/>
    <mergeCell ref="DN437:DO437"/>
    <mergeCell ref="DP437:DQ437"/>
    <mergeCell ref="F448:H448"/>
    <mergeCell ref="F449:H449"/>
    <mergeCell ref="I451:J451"/>
    <mergeCell ref="K451:L451"/>
    <mergeCell ref="M451:N451"/>
    <mergeCell ref="O451:P451"/>
    <mergeCell ref="Q451:R451"/>
    <mergeCell ref="S451:T451"/>
    <mergeCell ref="U451:V451"/>
    <mergeCell ref="BD451:BF451"/>
    <mergeCell ref="BG451:BI451"/>
    <mergeCell ref="BJ451:BL451"/>
    <mergeCell ref="BM451:BO451"/>
    <mergeCell ref="BP451:BR451"/>
    <mergeCell ref="BS451:BU451"/>
    <mergeCell ref="BV451:BX451"/>
    <mergeCell ref="BY451:CA451"/>
    <mergeCell ref="CB451:CD451"/>
    <mergeCell ref="CE451:CG451"/>
    <mergeCell ref="CH451:CJ451"/>
    <mergeCell ref="CK451:CM451"/>
    <mergeCell ref="CB466:CD466"/>
    <mergeCell ref="CE466:CG466"/>
    <mergeCell ref="CH466:CJ466"/>
    <mergeCell ref="CK466:CM466"/>
    <mergeCell ref="CN466:CP466"/>
    <mergeCell ref="CQ466:CS466"/>
    <mergeCell ref="CT466:CV466"/>
    <mergeCell ref="CW466:CY466"/>
    <mergeCell ref="CZ466:DB466"/>
    <mergeCell ref="CQ481:CS481"/>
    <mergeCell ref="CT481:CV481"/>
    <mergeCell ref="CW481:CY481"/>
    <mergeCell ref="CZ481:DB481"/>
    <mergeCell ref="DC481:DE481"/>
    <mergeCell ref="DN452:DO452"/>
    <mergeCell ref="DP452:DQ452"/>
    <mergeCell ref="F463:H463"/>
    <mergeCell ref="F464:H464"/>
    <mergeCell ref="I466:J466"/>
    <mergeCell ref="K466:L466"/>
    <mergeCell ref="M466:N466"/>
    <mergeCell ref="O466:P466"/>
    <mergeCell ref="Q466:R466"/>
    <mergeCell ref="S466:T466"/>
    <mergeCell ref="U466:V466"/>
    <mergeCell ref="BD466:BF466"/>
    <mergeCell ref="BG466:BI466"/>
    <mergeCell ref="BJ466:BL466"/>
    <mergeCell ref="BM466:BO466"/>
    <mergeCell ref="BP466:BR466"/>
    <mergeCell ref="BS466:BU466"/>
    <mergeCell ref="BV466:BX466"/>
    <mergeCell ref="BY466:CA466"/>
    <mergeCell ref="DN467:DO467"/>
    <mergeCell ref="DP467:DQ467"/>
    <mergeCell ref="F478:H478"/>
    <mergeCell ref="F479:H479"/>
    <mergeCell ref="I481:J481"/>
    <mergeCell ref="K481:L481"/>
    <mergeCell ref="M481:N481"/>
    <mergeCell ref="O481:P481"/>
    <mergeCell ref="Q481:R481"/>
    <mergeCell ref="S481:T481"/>
    <mergeCell ref="U481:V481"/>
    <mergeCell ref="BD481:BF481"/>
    <mergeCell ref="BG481:BI481"/>
    <mergeCell ref="BJ481:BL481"/>
    <mergeCell ref="BM481:BO481"/>
    <mergeCell ref="BP481:BR481"/>
    <mergeCell ref="BS481:BU481"/>
    <mergeCell ref="BV481:BX481"/>
    <mergeCell ref="BY481:CA481"/>
    <mergeCell ref="CB481:CD481"/>
    <mergeCell ref="CE481:CG481"/>
    <mergeCell ref="CH481:CJ481"/>
    <mergeCell ref="CK481:CM481"/>
    <mergeCell ref="CN481:CP481"/>
    <mergeCell ref="CE496:CG496"/>
    <mergeCell ref="CH496:CJ496"/>
    <mergeCell ref="CK496:CM496"/>
    <mergeCell ref="CN496:CP496"/>
    <mergeCell ref="CQ496:CS496"/>
    <mergeCell ref="CT496:CV496"/>
    <mergeCell ref="CW496:CY496"/>
    <mergeCell ref="CZ496:DB496"/>
    <mergeCell ref="DC496:DE496"/>
    <mergeCell ref="DN497:DO497"/>
    <mergeCell ref="DP497:DQ497"/>
    <mergeCell ref="F508:H508"/>
    <mergeCell ref="F509:H509"/>
    <mergeCell ref="DN482:DO482"/>
    <mergeCell ref="DP482:DQ482"/>
    <mergeCell ref="F493:H493"/>
    <mergeCell ref="F494:H494"/>
    <mergeCell ref="I496:J496"/>
    <mergeCell ref="K496:L496"/>
    <mergeCell ref="M496:N496"/>
    <mergeCell ref="O496:P496"/>
    <mergeCell ref="Q496:R496"/>
    <mergeCell ref="S496:T496"/>
    <mergeCell ref="U496:V496"/>
    <mergeCell ref="BD496:BF496"/>
    <mergeCell ref="BG496:BI496"/>
    <mergeCell ref="BJ496:BL496"/>
    <mergeCell ref="BM496:BO496"/>
    <mergeCell ref="BP496:BR496"/>
    <mergeCell ref="BS496:BU496"/>
    <mergeCell ref="BV496:BX496"/>
    <mergeCell ref="BY496:CA496"/>
    <mergeCell ref="CB496:CD496"/>
  </mergeCells>
  <phoneticPr fontId="14" type="noConversion"/>
  <conditionalFormatting sqref="I1:J1 I16:J16 I31:J31 I46:J46 I61:J61 I76:J76 I91:J91 I106:J106 I121:J121 I136:J136 I151:J151 I166:J166 I181:J181 I196:J196 I211:J211 I226:J226 I241:J241 I256:J256 I271:J271 I286:J286 I301:J301 I316:J316 I331:J331 I346:J346 I361:J361 I376:J376 I391:J391 I406:J406 I421:J421 I436:J436 I451:J451 I466:J466 I496:J496 I481:J481">
    <cfRule type="cellIs" dxfId="98" priority="608" operator="equal">
      <formula>AL1</formula>
    </cfRule>
    <cfRule type="cellIs" dxfId="97" priority="609" operator="equal">
      <formula>AS1</formula>
    </cfRule>
  </conditionalFormatting>
  <conditionalFormatting sqref="M1:N1 M16:N16 M31:N31 M46:N46 M61:N61 M76:N76 M91:N91 M106:N106 M121:N121 M136:N136 M151:N151 M166:N166 M181:N181 M196:N196 M211:N211 M226:N226 M241:N241 M256:N256 M271:N271 M286:N286 M301:N301 M316:N316 M331:N331 M346:N346 M361:N361 M376:N376 M391:N391 M406:N406 M421:N421 M436:N436 M451:N451 M466:N466 M496:N496 M481:N481">
    <cfRule type="cellIs" dxfId="96" priority="610" operator="equal">
      <formula>AN1</formula>
    </cfRule>
    <cfRule type="cellIs" dxfId="95" priority="611" operator="equal">
      <formula>AU1</formula>
    </cfRule>
  </conditionalFormatting>
  <conditionalFormatting sqref="O1:P1 O16:P16 O31:P31 O46:P46 O61:P61 O76:P76 O91:P91 O106:P106 O121:P121 O136:P136 O151:P151 O166:P166 O181:P181 O196:P196 O211:P211 O226:P226 O241:P241 O256:P256 O271:P271 O286:P286 O301:P301 O316:P316 O331:P331 O346:P346 O361:P361 O376:P376 O391:P391 O406:P406 O421:P421 O436:P436 O451:P451 O466:P466 O496:P496 O481:P481">
    <cfRule type="cellIs" dxfId="94" priority="612" operator="equal">
      <formula>AO1</formula>
    </cfRule>
    <cfRule type="cellIs" dxfId="93" priority="613" operator="equal">
      <formula>AV1</formula>
    </cfRule>
  </conditionalFormatting>
  <conditionalFormatting sqref="Q1:R1 Q16:R16 Q31:R31 Q46:R46 Q61:R61 Q76:R76 Q91:R91 Q106:R106 Q121:R121 Q136:R136 Q151:R151 Q166:R166 Q181:R181 Q196:R196 Q211:R211 Q226:R226 Q241:R241 Q256:R256 Q271:R271 Q286:R286 Q301:R301 Q316:R316 Q331:R331 Q346:R346 Q361:R361 Q376:R376 Q391:R391 Q406:R406 Q421:R421 Q436:R436 Q451:R451 Q466:R466 Q496:R496 Q481:R481">
    <cfRule type="cellIs" dxfId="92" priority="614" operator="equal">
      <formula>AP1</formula>
    </cfRule>
    <cfRule type="cellIs" dxfId="91" priority="615" operator="equal">
      <formula>AW1</formula>
    </cfRule>
  </conditionalFormatting>
  <conditionalFormatting sqref="S1:T1 S16:T16 S31:T31 S46:T46 S61:T61 S76:T76 S91:T91 S106:T106 S121:T121 S136:T136 S151:T151 S166:T166 S181:T181 S196:T196 S211:T211 S226:T226 S241:T241 S256:T256 S271:T271 S286:T286 S301:T301 S316:T316 S331:T331 S346:T346 S361:T361 S376:T376 S391:T391 S406:T406 S421:T421 S436:T436 S451:T451 S466:T466 S496:T496 S481:T481">
    <cfRule type="cellIs" dxfId="90" priority="616" operator="equal">
      <formula>AQ1</formula>
    </cfRule>
    <cfRule type="cellIs" dxfId="89" priority="617" operator="equal">
      <formula>AX1</formula>
    </cfRule>
  </conditionalFormatting>
  <conditionalFormatting sqref="K1:L1 K16:L16 K31:L31 K46:L46 K61:L61 K76:L76 K91:L91 K106:L106 K121:L121 K136:L136 K151:L151 K166:L166 K181:L181 K196:L196 K211:L211 K226:L226 K241:L241 K256:L256 K271:L271 K286:L286 K301:L301 K316:L316 K331:L331 K346:L346 K361:L361 K376:L376 K391:L391 K406:L406 K421:L421 K436:L436 K451:L451 K466:L466 K496:L496 K481:L481">
    <cfRule type="cellIs" dxfId="88" priority="618" operator="equal">
      <formula>AM1</formula>
    </cfRule>
    <cfRule type="cellIs" dxfId="87" priority="619" operator="equal">
      <formula>AT1</formula>
    </cfRule>
  </conditionalFormatting>
  <conditionalFormatting sqref="U121 U106 U91 U76 U61 U46 U31 U16 U1 U496 U481 U466 U451 U436 U421 U406 U391 U376 U361 U346 U331 U316 U301 U286 U256 U271 U241 U211 U226 U196 U181 U166 U151 U136">
    <cfRule type="cellIs" dxfId="86" priority="1016" operator="equal">
      <formula>AR1</formula>
    </cfRule>
    <cfRule type="cellIs" dxfId="85" priority="1017" operator="equal">
      <formula>AY1</formula>
    </cfRule>
  </conditionalFormatting>
  <conditionalFormatting sqref="AH496 AH16 AH31 AH46 AH61 AH76 AH91 AH106 AH121 AH136 AH151 AH166 AH181 AH196 AH211 AH226 AH241 AH256 AH271 AH286 AH301 AH316 AH331 AH346 AH361 AH376 AH391 AH406 AH421 AH436 AH451 AH466 AH481">
    <cfRule type="cellIs" dxfId="84" priority="1020" operator="equal">
      <formula>AU16</formula>
    </cfRule>
    <cfRule type="cellIs" dxfId="83" priority="1021" operator="equal">
      <formula>BB16</formula>
    </cfRule>
  </conditionalFormatting>
  <conditionalFormatting sqref="V121 V106 V91 V76 V61 V46 V31 V16 V1 V496 V481 V466 V451 V436 V421 V406 V391 V376 V361 V346 V331 V316 V301 V286 V256 V271 V241 V211 V226 V196 V181 V166 V151 V136">
    <cfRule type="cellIs" dxfId="82" priority="1086" operator="equal">
      <formula>#REF!</formula>
    </cfRule>
    <cfRule type="cellIs" dxfId="81" priority="1087" operator="equal">
      <formula>#REF!</formula>
    </cfRule>
  </conditionalFormatting>
  <dataValidations count="2">
    <dataValidation type="list" allowBlank="1" showInputMessage="1" showErrorMessage="1" sqref="A1:A1510" xr:uid="{00000000-0002-0000-0000-000000000000}">
      <formula1>$AH$1:$AH$7</formula1>
      <formula2>0</formula2>
    </dataValidation>
    <dataValidation type="list" allowBlank="1" showInputMessage="1" showErrorMessage="1" sqref="B1:B1510" xr:uid="{00000000-0002-0000-0000-000001000000}">
      <formula1>$AI$1:$AI$11</formula1>
      <formula2>0</formula2>
    </dataValidation>
  </dataValidations>
  <printOptions horizontalCentered="1" verticalCentered="1" gridLines="1"/>
  <pageMargins left="0" right="0" top="0" bottom="0" header="0.511811023622047" footer="0.511811023622047"/>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N42"/>
  <sheetViews>
    <sheetView zoomScaleNormal="100" workbookViewId="0">
      <selection activeCell="B24" sqref="B24"/>
    </sheetView>
  </sheetViews>
  <sheetFormatPr baseColWidth="10" defaultColWidth="10.28515625" defaultRowHeight="12.75" x14ac:dyDescent="0.2"/>
  <cols>
    <col min="1" max="1" width="14.85546875" style="97" customWidth="1"/>
    <col min="2" max="2" width="11.42578125" style="97" customWidth="1"/>
    <col min="4" max="4" width="15.5703125" bestFit="1" customWidth="1"/>
    <col min="6" max="6" width="10.5703125" customWidth="1"/>
    <col min="7" max="7" width="20.42578125" style="98" customWidth="1"/>
    <col min="9" max="9" width="8.7109375" customWidth="1"/>
  </cols>
  <sheetData>
    <row r="1" spans="1:14" x14ac:dyDescent="0.2">
      <c r="A1" s="2" t="s">
        <v>32</v>
      </c>
      <c r="B1" s="12" t="s">
        <v>42</v>
      </c>
      <c r="C1" s="12" t="str">
        <f>ß01</f>
        <v>Bayern</v>
      </c>
      <c r="D1" s="12" t="s">
        <v>34</v>
      </c>
      <c r="E1" s="12"/>
      <c r="F1" s="12" t="s">
        <v>35</v>
      </c>
      <c r="G1" s="99" t="s">
        <v>253</v>
      </c>
      <c r="I1" s="2" t="s">
        <v>36</v>
      </c>
      <c r="J1" t="s">
        <v>37</v>
      </c>
      <c r="K1" s="5" t="s">
        <v>38</v>
      </c>
      <c r="L1" s="5" t="s">
        <v>39</v>
      </c>
      <c r="M1" s="5" t="s">
        <v>37</v>
      </c>
      <c r="N1" t="str">
        <f>IF(M1=ß101,K1,IF(M1=ß102,K2,IF(M1=ß103,K3,IF(M1=ß104,K4,IF(M1=ß105,K5,IF(M1=ß106,K6,IF(M1=ß107,K7)))))))</f>
        <v>J</v>
      </c>
    </row>
    <row r="2" spans="1:14" x14ac:dyDescent="0.2">
      <c r="A2" s="2" t="s">
        <v>41</v>
      </c>
      <c r="B2" s="12" t="s">
        <v>66</v>
      </c>
      <c r="C2" s="12" t="str">
        <f>ß02</f>
        <v>Leipzig</v>
      </c>
      <c r="D2" t="s">
        <v>43</v>
      </c>
      <c r="E2" s="12"/>
      <c r="F2" s="12" t="s">
        <v>44</v>
      </c>
      <c r="G2" s="99" t="s">
        <v>254</v>
      </c>
      <c r="I2" s="100" t="s">
        <v>45</v>
      </c>
      <c r="J2" t="s">
        <v>40</v>
      </c>
      <c r="K2" s="5" t="s">
        <v>46</v>
      </c>
    </row>
    <row r="3" spans="1:14" x14ac:dyDescent="0.2">
      <c r="A3" s="2" t="s">
        <v>47</v>
      </c>
      <c r="B3" s="12" t="s">
        <v>55</v>
      </c>
      <c r="C3" s="12" t="str">
        <f>ß03</f>
        <v>Leverk.</v>
      </c>
      <c r="D3" t="s">
        <v>49</v>
      </c>
      <c r="E3" s="12" t="s">
        <v>249</v>
      </c>
      <c r="F3" s="12" t="s">
        <v>50</v>
      </c>
      <c r="G3" s="99" t="s">
        <v>255</v>
      </c>
      <c r="I3" s="2" t="s">
        <v>51</v>
      </c>
      <c r="J3" t="s">
        <v>52</v>
      </c>
      <c r="K3" s="5" t="s">
        <v>53</v>
      </c>
    </row>
    <row r="4" spans="1:14" x14ac:dyDescent="0.2">
      <c r="A4" s="2" t="s">
        <v>54</v>
      </c>
      <c r="B4" s="12" t="s">
        <v>96</v>
      </c>
      <c r="C4" s="12" t="str">
        <f>ß04</f>
        <v>Hoffenheim</v>
      </c>
      <c r="D4" s="12" t="s">
        <v>42</v>
      </c>
      <c r="E4" s="12" t="s">
        <v>249</v>
      </c>
      <c r="F4" s="12" t="s">
        <v>56</v>
      </c>
      <c r="G4" s="99" t="s">
        <v>256</v>
      </c>
      <c r="I4" s="100" t="s">
        <v>57</v>
      </c>
      <c r="J4" t="s">
        <v>63</v>
      </c>
      <c r="K4" s="5" t="s">
        <v>30</v>
      </c>
    </row>
    <row r="5" spans="1:14" x14ac:dyDescent="0.2">
      <c r="A5" s="2" t="s">
        <v>58</v>
      </c>
      <c r="B5" s="12" t="s">
        <v>73</v>
      </c>
      <c r="C5" s="12" t="str">
        <f>ß05</f>
        <v>Frankfurt</v>
      </c>
      <c r="D5" s="12" t="s">
        <v>60</v>
      </c>
      <c r="E5" s="12"/>
      <c r="F5" s="12" t="s">
        <v>61</v>
      </c>
      <c r="G5" s="98" t="s">
        <v>257</v>
      </c>
      <c r="I5" s="2" t="s">
        <v>62</v>
      </c>
      <c r="J5" t="s">
        <v>70</v>
      </c>
      <c r="K5" s="5" t="s">
        <v>64</v>
      </c>
    </row>
    <row r="6" spans="1:14" x14ac:dyDescent="0.2">
      <c r="A6" s="2" t="s">
        <v>65</v>
      </c>
      <c r="B6" s="12" t="s">
        <v>115</v>
      </c>
      <c r="C6" s="12" t="str">
        <f>ß06</f>
        <v>Werder</v>
      </c>
      <c r="D6" s="12" t="s">
        <v>67</v>
      </c>
      <c r="E6" s="12"/>
      <c r="F6" s="12" t="s">
        <v>68</v>
      </c>
      <c r="G6" s="99" t="s">
        <v>258</v>
      </c>
      <c r="I6" s="100" t="s">
        <v>69</v>
      </c>
      <c r="J6" t="s">
        <v>77</v>
      </c>
      <c r="K6" s="5" t="s">
        <v>71</v>
      </c>
    </row>
    <row r="7" spans="1:14" x14ac:dyDescent="0.2">
      <c r="A7" s="2" t="s">
        <v>72</v>
      </c>
      <c r="B7" s="12" t="s">
        <v>80</v>
      </c>
      <c r="C7" s="12" t="str">
        <f>ß07</f>
        <v>Freiburg</v>
      </c>
      <c r="D7" s="12" t="s">
        <v>74</v>
      </c>
      <c r="E7" s="12"/>
      <c r="F7" s="12" t="s">
        <v>75</v>
      </c>
      <c r="G7" s="99" t="s">
        <v>259</v>
      </c>
      <c r="I7" s="2" t="s">
        <v>76</v>
      </c>
      <c r="J7" t="s">
        <v>83</v>
      </c>
      <c r="K7" s="5" t="s">
        <v>78</v>
      </c>
    </row>
    <row r="8" spans="1:14" x14ac:dyDescent="0.2">
      <c r="A8" s="2" t="s">
        <v>79</v>
      </c>
      <c r="B8" t="s">
        <v>49</v>
      </c>
      <c r="C8" s="12" t="str">
        <f>ß08</f>
        <v>Augsburg</v>
      </c>
      <c r="D8" s="12" t="s">
        <v>81</v>
      </c>
      <c r="E8" s="12"/>
      <c r="F8" s="12" t="s">
        <v>82</v>
      </c>
      <c r="G8" s="99" t="s">
        <v>260</v>
      </c>
      <c r="I8" s="100"/>
      <c r="K8" s="5"/>
    </row>
    <row r="9" spans="1:14" x14ac:dyDescent="0.2">
      <c r="A9" s="2" t="s">
        <v>84</v>
      </c>
      <c r="B9" s="12" t="s">
        <v>89</v>
      </c>
      <c r="C9" s="12" t="str">
        <f>ß09</f>
        <v>Mainz</v>
      </c>
      <c r="D9" s="12" t="s">
        <v>86</v>
      </c>
      <c r="E9" s="12"/>
      <c r="F9" s="12" t="s">
        <v>87</v>
      </c>
      <c r="G9" s="99" t="s">
        <v>261</v>
      </c>
      <c r="I9" s="2"/>
      <c r="K9" s="5"/>
    </row>
    <row r="10" spans="1:14" x14ac:dyDescent="0.2">
      <c r="A10" s="2" t="s">
        <v>88</v>
      </c>
      <c r="B10" s="12" t="s">
        <v>85</v>
      </c>
      <c r="C10" s="12" t="str">
        <f>ß10</f>
        <v>Köln</v>
      </c>
      <c r="D10" s="12" t="s">
        <v>33</v>
      </c>
      <c r="E10" s="12" t="s">
        <v>249</v>
      </c>
      <c r="F10" s="12" t="s">
        <v>90</v>
      </c>
      <c r="G10" s="131" t="s">
        <v>262</v>
      </c>
    </row>
    <row r="11" spans="1:14" x14ac:dyDescent="0.2">
      <c r="A11" s="2" t="s">
        <v>91</v>
      </c>
      <c r="B11" s="12" t="s">
        <v>59</v>
      </c>
      <c r="C11" s="12" t="str">
        <f>ß11</f>
        <v>M'gladb.</v>
      </c>
      <c r="D11" s="12" t="s">
        <v>93</v>
      </c>
      <c r="E11" s="12"/>
      <c r="F11" s="12" t="s">
        <v>94</v>
      </c>
      <c r="G11" s="99" t="s">
        <v>263</v>
      </c>
    </row>
    <row r="12" spans="1:14" x14ac:dyDescent="0.2">
      <c r="A12" s="2" t="s">
        <v>95</v>
      </c>
      <c r="B12" s="12" t="s">
        <v>117</v>
      </c>
      <c r="C12" s="12" t="str">
        <f>ß12</f>
        <v>HSV</v>
      </c>
      <c r="D12" s="12" t="s">
        <v>97</v>
      </c>
      <c r="E12" s="12"/>
      <c r="F12" s="12" t="s">
        <v>98</v>
      </c>
      <c r="G12" s="99" t="s">
        <v>264</v>
      </c>
    </row>
    <row r="13" spans="1:14" x14ac:dyDescent="0.2">
      <c r="A13" s="2" t="s">
        <v>99</v>
      </c>
      <c r="B13" s="12" t="s">
        <v>48</v>
      </c>
      <c r="C13" s="12" t="str">
        <f>ß13</f>
        <v>Union</v>
      </c>
      <c r="D13" s="12" t="s">
        <v>73</v>
      </c>
      <c r="E13" s="12" t="s">
        <v>249</v>
      </c>
      <c r="F13" s="12" t="s">
        <v>100</v>
      </c>
      <c r="G13" s="99" t="s">
        <v>265</v>
      </c>
    </row>
    <row r="14" spans="1:14" x14ac:dyDescent="0.2">
      <c r="A14" s="2" t="s">
        <v>101</v>
      </c>
      <c r="B14" s="12" t="s">
        <v>112</v>
      </c>
      <c r="C14" s="12" t="str">
        <f>ß14</f>
        <v>Stuttgart</v>
      </c>
      <c r="D14" s="12" t="s">
        <v>80</v>
      </c>
      <c r="E14" s="12" t="s">
        <v>249</v>
      </c>
      <c r="F14" s="12" t="s">
        <v>103</v>
      </c>
      <c r="G14" s="131" t="s">
        <v>266</v>
      </c>
    </row>
    <row r="15" spans="1:14" x14ac:dyDescent="0.2">
      <c r="A15" s="2" t="s">
        <v>104</v>
      </c>
      <c r="B15" s="12" t="s">
        <v>137</v>
      </c>
      <c r="C15" s="12" t="str">
        <f>ß15</f>
        <v>St. Pauli</v>
      </c>
      <c r="D15" s="12" t="s">
        <v>105</v>
      </c>
      <c r="E15" s="12"/>
      <c r="F15" s="12" t="s">
        <v>106</v>
      </c>
      <c r="G15" s="99" t="s">
        <v>267</v>
      </c>
    </row>
    <row r="16" spans="1:14" x14ac:dyDescent="0.2">
      <c r="A16" s="2" t="s">
        <v>107</v>
      </c>
      <c r="B16" s="12" t="s">
        <v>33</v>
      </c>
      <c r="C16" s="12" t="str">
        <f>ß16</f>
        <v>Dortmund</v>
      </c>
      <c r="D16" s="12" t="s">
        <v>109</v>
      </c>
      <c r="E16" s="12"/>
      <c r="F16" s="12" t="s">
        <v>110</v>
      </c>
      <c r="G16" s="99" t="s">
        <v>268</v>
      </c>
    </row>
    <row r="17" spans="1:7" x14ac:dyDescent="0.2">
      <c r="A17" s="2" t="s">
        <v>111</v>
      </c>
      <c r="B17" s="12" t="s">
        <v>250</v>
      </c>
      <c r="C17" s="12" t="str">
        <f>ß17</f>
        <v>Heidenheim</v>
      </c>
      <c r="D17" s="12" t="s">
        <v>250</v>
      </c>
      <c r="E17" t="s">
        <v>249</v>
      </c>
      <c r="F17" s="12" t="s">
        <v>113</v>
      </c>
      <c r="G17" s="131" t="s">
        <v>270</v>
      </c>
    </row>
    <row r="18" spans="1:7" x14ac:dyDescent="0.2">
      <c r="A18" s="2" t="s">
        <v>114</v>
      </c>
      <c r="B18" s="12" t="s">
        <v>92</v>
      </c>
      <c r="C18" s="12" t="str">
        <f>ß18</f>
        <v>Wolfsburg</v>
      </c>
      <c r="D18" s="12" t="s">
        <v>102</v>
      </c>
      <c r="E18" s="12"/>
      <c r="F18" s="12" t="s">
        <v>116</v>
      </c>
      <c r="G18" s="99" t="s">
        <v>269</v>
      </c>
    </row>
    <row r="19" spans="1:7" x14ac:dyDescent="0.2">
      <c r="D19" s="12" t="s">
        <v>96</v>
      </c>
      <c r="E19" s="12" t="s">
        <v>249</v>
      </c>
      <c r="F19" s="12" t="s">
        <v>118</v>
      </c>
      <c r="G19" s="101" t="s">
        <v>271</v>
      </c>
    </row>
    <row r="20" spans="1:7" x14ac:dyDescent="0.2">
      <c r="D20" s="12" t="s">
        <v>117</v>
      </c>
      <c r="E20" s="12" t="s">
        <v>249</v>
      </c>
      <c r="F20" s="12" t="s">
        <v>120</v>
      </c>
      <c r="G20" s="99" t="s">
        <v>272</v>
      </c>
    </row>
    <row r="21" spans="1:7" x14ac:dyDescent="0.2">
      <c r="D21" s="12" t="s">
        <v>119</v>
      </c>
      <c r="E21" s="12"/>
      <c r="F21" s="12" t="s">
        <v>122</v>
      </c>
      <c r="G21" s="99" t="s">
        <v>273</v>
      </c>
    </row>
    <row r="22" spans="1:7" x14ac:dyDescent="0.2">
      <c r="D22" s="12" t="s">
        <v>121</v>
      </c>
      <c r="E22" s="12"/>
      <c r="F22" s="12" t="s">
        <v>124</v>
      </c>
      <c r="G22" s="101" t="s">
        <v>274</v>
      </c>
    </row>
    <row r="23" spans="1:7" x14ac:dyDescent="0.2">
      <c r="D23" s="12" t="s">
        <v>123</v>
      </c>
      <c r="E23" s="12"/>
      <c r="F23" s="12" t="s">
        <v>125</v>
      </c>
      <c r="G23" s="99" t="s">
        <v>275</v>
      </c>
    </row>
    <row r="24" spans="1:7" x14ac:dyDescent="0.2">
      <c r="D24" s="12" t="s">
        <v>251</v>
      </c>
      <c r="E24" s="12"/>
      <c r="F24" s="12" t="s">
        <v>126</v>
      </c>
      <c r="G24" s="99" t="s">
        <v>276</v>
      </c>
    </row>
    <row r="25" spans="1:7" x14ac:dyDescent="0.2">
      <c r="D25" s="12" t="s">
        <v>85</v>
      </c>
      <c r="E25" s="12" t="s">
        <v>249</v>
      </c>
      <c r="F25" s="12" t="s">
        <v>127</v>
      </c>
      <c r="G25" s="99" t="s">
        <v>277</v>
      </c>
    </row>
    <row r="26" spans="1:7" x14ac:dyDescent="0.2">
      <c r="D26" s="12" t="s">
        <v>66</v>
      </c>
      <c r="E26" s="12" t="s">
        <v>249</v>
      </c>
      <c r="F26" s="12" t="s">
        <v>128</v>
      </c>
      <c r="G26" s="99" t="s">
        <v>278</v>
      </c>
    </row>
    <row r="27" spans="1:7" x14ac:dyDescent="0.2">
      <c r="D27" s="12" t="s">
        <v>55</v>
      </c>
      <c r="E27" s="12" t="s">
        <v>249</v>
      </c>
      <c r="F27" s="12" t="s">
        <v>129</v>
      </c>
      <c r="G27" s="99" t="s">
        <v>279</v>
      </c>
    </row>
    <row r="28" spans="1:7" x14ac:dyDescent="0.2">
      <c r="D28" s="12" t="s">
        <v>89</v>
      </c>
      <c r="E28" s="12" t="s">
        <v>249</v>
      </c>
      <c r="F28" s="12" t="s">
        <v>131</v>
      </c>
      <c r="G28" s="99" t="s">
        <v>280</v>
      </c>
    </row>
    <row r="29" spans="1:7" x14ac:dyDescent="0.2">
      <c r="D29" s="12" t="s">
        <v>59</v>
      </c>
      <c r="E29" s="12"/>
      <c r="F29" s="12" t="s">
        <v>133</v>
      </c>
      <c r="G29" s="99" t="s">
        <v>281</v>
      </c>
    </row>
    <row r="30" spans="1:7" x14ac:dyDescent="0.2">
      <c r="D30" s="12" t="s">
        <v>130</v>
      </c>
      <c r="E30" s="12"/>
      <c r="F30" s="12" t="s">
        <v>135</v>
      </c>
      <c r="G30" s="99" t="s">
        <v>282</v>
      </c>
    </row>
    <row r="31" spans="1:7" x14ac:dyDescent="0.2">
      <c r="D31" s="12" t="s">
        <v>132</v>
      </c>
      <c r="E31" s="12"/>
      <c r="F31" s="12" t="s">
        <v>136</v>
      </c>
      <c r="G31" s="99" t="s">
        <v>283</v>
      </c>
    </row>
    <row r="32" spans="1:7" x14ac:dyDescent="0.2">
      <c r="D32" s="12" t="s">
        <v>134</v>
      </c>
      <c r="E32" s="12"/>
      <c r="F32" s="12" t="s">
        <v>138</v>
      </c>
      <c r="G32" s="99" t="s">
        <v>284</v>
      </c>
    </row>
    <row r="33" spans="1:7" x14ac:dyDescent="0.2">
      <c r="D33" s="12" t="s">
        <v>108</v>
      </c>
      <c r="E33" s="12"/>
      <c r="F33" s="12" t="s">
        <v>139</v>
      </c>
      <c r="G33" s="99" t="s">
        <v>285</v>
      </c>
    </row>
    <row r="34" spans="1:7" x14ac:dyDescent="0.2">
      <c r="D34" s="12" t="s">
        <v>137</v>
      </c>
      <c r="E34" s="12" t="s">
        <v>249</v>
      </c>
      <c r="F34" s="12" t="s">
        <v>140</v>
      </c>
      <c r="G34" s="99">
        <v>46158</v>
      </c>
    </row>
    <row r="35" spans="1:7" x14ac:dyDescent="0.2">
      <c r="D35" s="12" t="s">
        <v>112</v>
      </c>
      <c r="E35" s="12" t="s">
        <v>249</v>
      </c>
    </row>
    <row r="36" spans="1:7" x14ac:dyDescent="0.2">
      <c r="D36" s="12" t="s">
        <v>48</v>
      </c>
      <c r="E36" s="12" t="s">
        <v>249</v>
      </c>
      <c r="F36" s="12" t="s">
        <v>141</v>
      </c>
      <c r="G36" s="98" t="s">
        <v>252</v>
      </c>
    </row>
    <row r="37" spans="1:7" x14ac:dyDescent="0.2">
      <c r="D37" s="12" t="s">
        <v>115</v>
      </c>
      <c r="E37" s="12" t="s">
        <v>249</v>
      </c>
    </row>
    <row r="38" spans="1:7" x14ac:dyDescent="0.2">
      <c r="D38" s="12" t="s">
        <v>92</v>
      </c>
      <c r="E38" s="12" t="s">
        <v>249</v>
      </c>
    </row>
    <row r="40" spans="1:7" x14ac:dyDescent="0.2">
      <c r="A40" s="97" t="s">
        <v>142</v>
      </c>
      <c r="B40" s="97" t="s">
        <v>143</v>
      </c>
      <c r="C40" t="s">
        <v>144</v>
      </c>
      <c r="D40" t="s">
        <v>145</v>
      </c>
      <c r="E40" t="s">
        <v>146</v>
      </c>
    </row>
    <row r="41" spans="1:7" x14ac:dyDescent="0.2">
      <c r="B41" s="97" t="s">
        <v>147</v>
      </c>
      <c r="C41" t="s">
        <v>148</v>
      </c>
      <c r="D41" t="s">
        <v>149</v>
      </c>
    </row>
    <row r="42" spans="1:7" x14ac:dyDescent="0.2">
      <c r="B42" s="97" t="s">
        <v>150</v>
      </c>
      <c r="C42" t="s">
        <v>151</v>
      </c>
      <c r="D42" t="s">
        <v>145</v>
      </c>
      <c r="E42" t="s">
        <v>152</v>
      </c>
    </row>
  </sheetData>
  <pageMargins left="0.78749999999999998" right="0.78749999999999998" top="0.98402777777777795" bottom="0.98402777777777795" header="0.511811023622047" footer="0.511811023622047"/>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M44"/>
  <sheetViews>
    <sheetView zoomScaleNormal="100" workbookViewId="0">
      <selection activeCell="B26" sqref="B26"/>
    </sheetView>
  </sheetViews>
  <sheetFormatPr baseColWidth="10" defaultColWidth="10.28515625" defaultRowHeight="12.75" x14ac:dyDescent="0.2"/>
  <cols>
    <col min="1" max="7" width="3.7109375" customWidth="1"/>
    <col min="8" max="14" width="6.7109375" customWidth="1"/>
    <col min="15" max="28" width="3.7109375" customWidth="1"/>
    <col min="30" max="39" width="3.7109375" customWidth="1"/>
  </cols>
  <sheetData>
    <row r="1" spans="1:28" x14ac:dyDescent="0.2">
      <c r="A1">
        <f>Spieltage!I14</f>
        <v>0</v>
      </c>
      <c r="B1">
        <f>Spieltage!K14</f>
        <v>0</v>
      </c>
      <c r="C1">
        <f>Spieltage!M14</f>
        <v>0</v>
      </c>
      <c r="D1">
        <f>Spieltage!O14</f>
        <v>0</v>
      </c>
      <c r="E1">
        <f>Spieltage!Q14</f>
        <v>0</v>
      </c>
      <c r="F1">
        <f>Spieltage!S14</f>
        <v>0</v>
      </c>
      <c r="G1">
        <f>Spieltage!U14</f>
        <v>0</v>
      </c>
      <c r="H1" s="7">
        <f>Spieltage!J14</f>
        <v>0</v>
      </c>
      <c r="I1">
        <f>Spieltage!L14</f>
        <v>0</v>
      </c>
      <c r="J1">
        <f>Spieltage!N14</f>
        <v>0</v>
      </c>
      <c r="K1">
        <f>Spieltage!P14</f>
        <v>0</v>
      </c>
      <c r="L1">
        <f>Spieltage!R14</f>
        <v>0</v>
      </c>
      <c r="M1">
        <f>Spieltage!T14</f>
        <v>0</v>
      </c>
      <c r="N1">
        <f>Spieltage!V14</f>
        <v>0</v>
      </c>
      <c r="O1" s="7">
        <f t="shared" ref="O1:O34" si="0">RANK(A1,$A1:$G1)</f>
        <v>1</v>
      </c>
      <c r="P1">
        <f t="shared" ref="P1:P34" si="1">RANK(B1,$A1:$G1)</f>
        <v>1</v>
      </c>
      <c r="Q1">
        <f t="shared" ref="Q1:Q34" si="2">RANK(C1,$A1:$G1)</f>
        <v>1</v>
      </c>
      <c r="R1">
        <f t="shared" ref="R1:R34" si="3">RANK(D1,$A1:$G1)</f>
        <v>1</v>
      </c>
      <c r="S1">
        <f t="shared" ref="S1:S34" si="4">RANK(E1,$A1:$G1)</f>
        <v>1</v>
      </c>
      <c r="T1">
        <f t="shared" ref="T1:T34" si="5">RANK(F1,$A1:$G1)</f>
        <v>1</v>
      </c>
      <c r="U1">
        <f t="shared" ref="U1:U34" si="6">RANK(G1,$A1:$G1)</f>
        <v>1</v>
      </c>
      <c r="V1" s="7">
        <f t="shared" ref="V1:V34" si="7">IF(A1&gt;0,(RANK(H1,$H1:$N1)),0)</f>
        <v>0</v>
      </c>
      <c r="W1">
        <f t="shared" ref="W1:W34" si="8">IF(B1&gt;0,(RANK(I1,$H1:$N1)),0)</f>
        <v>0</v>
      </c>
      <c r="X1">
        <f t="shared" ref="X1:X34" si="9">IF(C1&gt;0,(RANK(J1,$H1:$N1)),0)</f>
        <v>0</v>
      </c>
      <c r="Y1">
        <f t="shared" ref="Y1:Y34" si="10">IF(D1&gt;0,(RANK(K1,$H1:$N1)),0)</f>
        <v>0</v>
      </c>
      <c r="Z1">
        <f t="shared" ref="Z1:Z34" si="11">IF(E1&gt;0,(RANK(L1,$H1:$N1)),0)</f>
        <v>0</v>
      </c>
      <c r="AA1">
        <f>IF(F1&gt;0,(RANK(M1,$H1:N1)),0)</f>
        <v>0</v>
      </c>
      <c r="AB1">
        <f t="shared" ref="AB1:AB34" si="12">IF(G1&gt;0,(RANK(N1,$H1:$N1)),0)</f>
        <v>0</v>
      </c>
    </row>
    <row r="2" spans="1:28" x14ac:dyDescent="0.2">
      <c r="A2">
        <f>Spieltage!I29</f>
        <v>0</v>
      </c>
      <c r="B2">
        <f>Spieltage!K29</f>
        <v>0</v>
      </c>
      <c r="C2">
        <f>Spieltage!M29</f>
        <v>0</v>
      </c>
      <c r="D2">
        <f>Spieltage!O29</f>
        <v>0</v>
      </c>
      <c r="E2">
        <f>Spieltage!Q29</f>
        <v>0</v>
      </c>
      <c r="F2">
        <f>Spieltage!S29</f>
        <v>0</v>
      </c>
      <c r="G2">
        <f>Spieltage!U29</f>
        <v>0</v>
      </c>
      <c r="H2" s="7">
        <f>Spieltage!J29</f>
        <v>0</v>
      </c>
      <c r="I2">
        <f>Spieltage!L29</f>
        <v>0</v>
      </c>
      <c r="J2">
        <f>Spieltage!N29</f>
        <v>0</v>
      </c>
      <c r="K2">
        <f>Spieltage!P29</f>
        <v>0</v>
      </c>
      <c r="L2">
        <f>Spieltage!R29</f>
        <v>0</v>
      </c>
      <c r="M2">
        <f>Spieltage!T29</f>
        <v>0</v>
      </c>
      <c r="N2">
        <f>Spieltage!V29</f>
        <v>0</v>
      </c>
      <c r="O2" s="7">
        <f t="shared" si="0"/>
        <v>1</v>
      </c>
      <c r="P2">
        <f t="shared" si="1"/>
        <v>1</v>
      </c>
      <c r="Q2">
        <f t="shared" si="2"/>
        <v>1</v>
      </c>
      <c r="R2">
        <f t="shared" si="3"/>
        <v>1</v>
      </c>
      <c r="S2">
        <f t="shared" si="4"/>
        <v>1</v>
      </c>
      <c r="T2">
        <f t="shared" si="5"/>
        <v>1</v>
      </c>
      <c r="U2">
        <f t="shared" si="6"/>
        <v>1</v>
      </c>
      <c r="V2" s="7">
        <f t="shared" si="7"/>
        <v>0</v>
      </c>
      <c r="W2">
        <f t="shared" si="8"/>
        <v>0</v>
      </c>
      <c r="X2">
        <f t="shared" si="9"/>
        <v>0</v>
      </c>
      <c r="Y2">
        <f t="shared" si="10"/>
        <v>0</v>
      </c>
      <c r="Z2">
        <f t="shared" si="11"/>
        <v>0</v>
      </c>
      <c r="AA2">
        <f>IF(F2&gt;0,(RANK(M2,$H2:N2)),0)</f>
        <v>0</v>
      </c>
      <c r="AB2">
        <f t="shared" si="12"/>
        <v>0</v>
      </c>
    </row>
    <row r="3" spans="1:28" x14ac:dyDescent="0.2">
      <c r="A3">
        <f>Spieltage!I44</f>
        <v>0</v>
      </c>
      <c r="B3">
        <f>Spieltage!K44</f>
        <v>0</v>
      </c>
      <c r="C3">
        <f>Spieltage!M44</f>
        <v>0</v>
      </c>
      <c r="D3">
        <f>Spieltage!O44</f>
        <v>0</v>
      </c>
      <c r="E3">
        <f>Spieltage!Q44</f>
        <v>0</v>
      </c>
      <c r="F3">
        <f>Spieltage!S44</f>
        <v>0</v>
      </c>
      <c r="G3">
        <f>Spieltage!U44</f>
        <v>0</v>
      </c>
      <c r="H3" s="7">
        <f>Spieltage!J44</f>
        <v>0</v>
      </c>
      <c r="I3">
        <f>Spieltage!L44</f>
        <v>0</v>
      </c>
      <c r="J3">
        <f>Spieltage!N44</f>
        <v>0</v>
      </c>
      <c r="K3">
        <f>Spieltage!P44</f>
        <v>0</v>
      </c>
      <c r="L3">
        <f>Spieltage!R44</f>
        <v>0</v>
      </c>
      <c r="M3">
        <f>Spieltage!T44</f>
        <v>0</v>
      </c>
      <c r="N3">
        <f>Spieltage!V44</f>
        <v>0</v>
      </c>
      <c r="O3" s="7">
        <f t="shared" si="0"/>
        <v>1</v>
      </c>
      <c r="P3">
        <f t="shared" si="1"/>
        <v>1</v>
      </c>
      <c r="Q3">
        <f t="shared" si="2"/>
        <v>1</v>
      </c>
      <c r="R3">
        <f t="shared" si="3"/>
        <v>1</v>
      </c>
      <c r="S3">
        <f t="shared" si="4"/>
        <v>1</v>
      </c>
      <c r="T3">
        <f t="shared" si="5"/>
        <v>1</v>
      </c>
      <c r="U3">
        <f t="shared" si="6"/>
        <v>1</v>
      </c>
      <c r="V3" s="7">
        <f t="shared" si="7"/>
        <v>0</v>
      </c>
      <c r="W3">
        <f t="shared" si="8"/>
        <v>0</v>
      </c>
      <c r="X3">
        <f t="shared" si="9"/>
        <v>0</v>
      </c>
      <c r="Y3">
        <f t="shared" si="10"/>
        <v>0</v>
      </c>
      <c r="Z3">
        <f t="shared" si="11"/>
        <v>0</v>
      </c>
      <c r="AA3">
        <f>IF(F3&gt;0,(RANK(M3,$H3:N3)),0)</f>
        <v>0</v>
      </c>
      <c r="AB3">
        <f t="shared" si="12"/>
        <v>0</v>
      </c>
    </row>
    <row r="4" spans="1:28" x14ac:dyDescent="0.2">
      <c r="A4">
        <f>Spieltage!I59</f>
        <v>0</v>
      </c>
      <c r="B4">
        <f>Spieltage!K59</f>
        <v>0</v>
      </c>
      <c r="C4">
        <f>Spieltage!M59</f>
        <v>0</v>
      </c>
      <c r="D4">
        <f>Spieltage!O59</f>
        <v>0</v>
      </c>
      <c r="E4">
        <f>Spieltage!Q59</f>
        <v>0</v>
      </c>
      <c r="F4">
        <f>Spieltage!S59</f>
        <v>0</v>
      </c>
      <c r="G4">
        <f>Spieltage!U59</f>
        <v>0</v>
      </c>
      <c r="H4" s="7">
        <f>Spieltage!J59</f>
        <v>0</v>
      </c>
      <c r="I4">
        <f>Spieltage!L59</f>
        <v>0</v>
      </c>
      <c r="J4">
        <f>Spieltage!N59</f>
        <v>0</v>
      </c>
      <c r="K4">
        <f>Spieltage!P59</f>
        <v>0</v>
      </c>
      <c r="L4">
        <f>Spieltage!R59</f>
        <v>0</v>
      </c>
      <c r="M4">
        <f>Spieltage!T59</f>
        <v>0</v>
      </c>
      <c r="N4">
        <f>Spieltage!V59</f>
        <v>0</v>
      </c>
      <c r="O4" s="7">
        <f t="shared" si="0"/>
        <v>1</v>
      </c>
      <c r="P4">
        <f t="shared" si="1"/>
        <v>1</v>
      </c>
      <c r="Q4">
        <f t="shared" si="2"/>
        <v>1</v>
      </c>
      <c r="R4">
        <f t="shared" si="3"/>
        <v>1</v>
      </c>
      <c r="S4">
        <f t="shared" si="4"/>
        <v>1</v>
      </c>
      <c r="T4">
        <f t="shared" si="5"/>
        <v>1</v>
      </c>
      <c r="U4">
        <f t="shared" si="6"/>
        <v>1</v>
      </c>
      <c r="V4" s="7">
        <f t="shared" si="7"/>
        <v>0</v>
      </c>
      <c r="W4">
        <f t="shared" si="8"/>
        <v>0</v>
      </c>
      <c r="X4">
        <f t="shared" si="9"/>
        <v>0</v>
      </c>
      <c r="Y4">
        <f t="shared" si="10"/>
        <v>0</v>
      </c>
      <c r="Z4">
        <f t="shared" si="11"/>
        <v>0</v>
      </c>
      <c r="AA4">
        <f>IF(F4&gt;0,(RANK(M4,$H4:N4)),0)</f>
        <v>0</v>
      </c>
      <c r="AB4">
        <f t="shared" si="12"/>
        <v>0</v>
      </c>
    </row>
    <row r="5" spans="1:28" x14ac:dyDescent="0.2">
      <c r="A5">
        <f>Spieltage!I74</f>
        <v>0</v>
      </c>
      <c r="B5">
        <f>Spieltage!K74</f>
        <v>0</v>
      </c>
      <c r="C5">
        <f>Spieltage!M74</f>
        <v>0</v>
      </c>
      <c r="D5">
        <f>Spieltage!O74</f>
        <v>0</v>
      </c>
      <c r="E5">
        <f>Spieltage!Q74</f>
        <v>0</v>
      </c>
      <c r="F5">
        <f>Spieltage!S74</f>
        <v>0</v>
      </c>
      <c r="G5">
        <f>Spieltage!U74</f>
        <v>0</v>
      </c>
      <c r="H5" s="7">
        <f>Spieltage!J74</f>
        <v>0</v>
      </c>
      <c r="I5">
        <f>Spieltage!L74</f>
        <v>0</v>
      </c>
      <c r="J5">
        <f>Spieltage!N74</f>
        <v>0</v>
      </c>
      <c r="K5">
        <f>Spieltage!P74</f>
        <v>0</v>
      </c>
      <c r="L5">
        <f>Spieltage!R74</f>
        <v>0</v>
      </c>
      <c r="M5">
        <f>Spieltage!T74</f>
        <v>0</v>
      </c>
      <c r="N5">
        <f>Spieltage!V74</f>
        <v>0</v>
      </c>
      <c r="O5" s="7">
        <f t="shared" si="0"/>
        <v>1</v>
      </c>
      <c r="P5">
        <f t="shared" si="1"/>
        <v>1</v>
      </c>
      <c r="Q5">
        <f t="shared" si="2"/>
        <v>1</v>
      </c>
      <c r="R5">
        <f t="shared" si="3"/>
        <v>1</v>
      </c>
      <c r="S5">
        <f t="shared" si="4"/>
        <v>1</v>
      </c>
      <c r="T5">
        <f t="shared" si="5"/>
        <v>1</v>
      </c>
      <c r="U5">
        <f t="shared" si="6"/>
        <v>1</v>
      </c>
      <c r="V5" s="7">
        <f t="shared" si="7"/>
        <v>0</v>
      </c>
      <c r="W5">
        <f t="shared" si="8"/>
        <v>0</v>
      </c>
      <c r="X5">
        <f t="shared" si="9"/>
        <v>0</v>
      </c>
      <c r="Y5">
        <f t="shared" si="10"/>
        <v>0</v>
      </c>
      <c r="Z5">
        <f t="shared" si="11"/>
        <v>0</v>
      </c>
      <c r="AA5">
        <f>IF(F5&gt;0,(RANK(M5,$H5:N5)),0)</f>
        <v>0</v>
      </c>
      <c r="AB5">
        <f t="shared" si="12"/>
        <v>0</v>
      </c>
    </row>
    <row r="6" spans="1:28" x14ac:dyDescent="0.2">
      <c r="A6">
        <f>Spieltage!I89</f>
        <v>0</v>
      </c>
      <c r="B6">
        <f>Spieltage!K89</f>
        <v>0</v>
      </c>
      <c r="C6">
        <f>Spieltage!M89</f>
        <v>0</v>
      </c>
      <c r="D6">
        <f>Spieltage!O89</f>
        <v>0</v>
      </c>
      <c r="E6">
        <f>Spieltage!Q89</f>
        <v>0</v>
      </c>
      <c r="F6">
        <f>Spieltage!S89</f>
        <v>0</v>
      </c>
      <c r="G6">
        <f>Spieltage!U89</f>
        <v>0</v>
      </c>
      <c r="H6" s="7">
        <f>Spieltage!J89</f>
        <v>0</v>
      </c>
      <c r="I6">
        <f>Spieltage!L89</f>
        <v>0</v>
      </c>
      <c r="J6">
        <f>Spieltage!N89</f>
        <v>0</v>
      </c>
      <c r="K6">
        <f>Spieltage!P89</f>
        <v>0</v>
      </c>
      <c r="L6">
        <f>Spieltage!R89</f>
        <v>0</v>
      </c>
      <c r="M6">
        <f>Spieltage!T89</f>
        <v>0</v>
      </c>
      <c r="N6">
        <f>Spieltage!V89</f>
        <v>0</v>
      </c>
      <c r="O6" s="7">
        <f t="shared" si="0"/>
        <v>1</v>
      </c>
      <c r="P6">
        <f t="shared" si="1"/>
        <v>1</v>
      </c>
      <c r="Q6">
        <f t="shared" si="2"/>
        <v>1</v>
      </c>
      <c r="R6">
        <f t="shared" si="3"/>
        <v>1</v>
      </c>
      <c r="S6">
        <f t="shared" si="4"/>
        <v>1</v>
      </c>
      <c r="T6">
        <f t="shared" si="5"/>
        <v>1</v>
      </c>
      <c r="U6">
        <f t="shared" si="6"/>
        <v>1</v>
      </c>
      <c r="V6" s="7">
        <f t="shared" si="7"/>
        <v>0</v>
      </c>
      <c r="W6">
        <f t="shared" si="8"/>
        <v>0</v>
      </c>
      <c r="X6">
        <f t="shared" si="9"/>
        <v>0</v>
      </c>
      <c r="Y6">
        <f t="shared" si="10"/>
        <v>0</v>
      </c>
      <c r="Z6">
        <f t="shared" si="11"/>
        <v>0</v>
      </c>
      <c r="AA6">
        <f>IF(F6&gt;0,(RANK(M6,$H6:N6)),0)</f>
        <v>0</v>
      </c>
      <c r="AB6">
        <f t="shared" si="12"/>
        <v>0</v>
      </c>
    </row>
    <row r="7" spans="1:28" x14ac:dyDescent="0.2">
      <c r="A7">
        <f>Spieltage!I104</f>
        <v>0</v>
      </c>
      <c r="B7">
        <f>Spieltage!K104</f>
        <v>0</v>
      </c>
      <c r="C7">
        <f>Spieltage!M104</f>
        <v>0</v>
      </c>
      <c r="D7">
        <f>Spieltage!O104</f>
        <v>0</v>
      </c>
      <c r="E7">
        <f>Spieltage!Q104</f>
        <v>0</v>
      </c>
      <c r="F7">
        <f>Spieltage!S104</f>
        <v>0</v>
      </c>
      <c r="G7">
        <f>Spieltage!U104</f>
        <v>0</v>
      </c>
      <c r="H7" s="7">
        <f>Spieltage!J104</f>
        <v>0</v>
      </c>
      <c r="I7">
        <f>Spieltage!L104</f>
        <v>0</v>
      </c>
      <c r="J7">
        <f>Spieltage!N104</f>
        <v>0</v>
      </c>
      <c r="K7">
        <f>Spieltage!P104</f>
        <v>0</v>
      </c>
      <c r="L7">
        <f>Spieltage!R104</f>
        <v>0</v>
      </c>
      <c r="M7">
        <f>Spieltage!T104</f>
        <v>0</v>
      </c>
      <c r="N7">
        <f>Spieltage!V104</f>
        <v>0</v>
      </c>
      <c r="O7" s="7">
        <f t="shared" si="0"/>
        <v>1</v>
      </c>
      <c r="P7">
        <f t="shared" si="1"/>
        <v>1</v>
      </c>
      <c r="Q7">
        <f t="shared" si="2"/>
        <v>1</v>
      </c>
      <c r="R7">
        <f t="shared" si="3"/>
        <v>1</v>
      </c>
      <c r="S7">
        <f t="shared" si="4"/>
        <v>1</v>
      </c>
      <c r="T7">
        <f t="shared" si="5"/>
        <v>1</v>
      </c>
      <c r="U7">
        <f t="shared" si="6"/>
        <v>1</v>
      </c>
      <c r="V7" s="7">
        <f t="shared" si="7"/>
        <v>0</v>
      </c>
      <c r="W7">
        <f t="shared" si="8"/>
        <v>0</v>
      </c>
      <c r="X7">
        <f t="shared" si="9"/>
        <v>0</v>
      </c>
      <c r="Y7">
        <f t="shared" si="10"/>
        <v>0</v>
      </c>
      <c r="Z7">
        <f t="shared" si="11"/>
        <v>0</v>
      </c>
      <c r="AA7">
        <f>IF(F7&gt;0,(RANK(M7,$H7:N7)),0)</f>
        <v>0</v>
      </c>
      <c r="AB7">
        <f t="shared" si="12"/>
        <v>0</v>
      </c>
    </row>
    <row r="8" spans="1:28" x14ac:dyDescent="0.2">
      <c r="A8">
        <f>Spieltage!I119</f>
        <v>0</v>
      </c>
      <c r="B8">
        <f>Spieltage!K119</f>
        <v>0</v>
      </c>
      <c r="C8">
        <f>Spieltage!M119</f>
        <v>0</v>
      </c>
      <c r="D8">
        <f>Spieltage!O119</f>
        <v>0</v>
      </c>
      <c r="E8">
        <f>Spieltage!Q119</f>
        <v>0</v>
      </c>
      <c r="F8">
        <f>Spieltage!S119</f>
        <v>0</v>
      </c>
      <c r="G8">
        <f>Spieltage!U119</f>
        <v>0</v>
      </c>
      <c r="H8" s="7">
        <f>Spieltage!J119</f>
        <v>0</v>
      </c>
      <c r="I8">
        <f>Spieltage!L119</f>
        <v>0</v>
      </c>
      <c r="J8">
        <f>Spieltage!N119</f>
        <v>0</v>
      </c>
      <c r="K8">
        <f>Spieltage!P119</f>
        <v>0</v>
      </c>
      <c r="L8">
        <f>Spieltage!R119</f>
        <v>0</v>
      </c>
      <c r="M8">
        <f>Spieltage!T119</f>
        <v>0</v>
      </c>
      <c r="N8">
        <f>Spieltage!V119</f>
        <v>0</v>
      </c>
      <c r="O8" s="7">
        <f t="shared" si="0"/>
        <v>1</v>
      </c>
      <c r="P8">
        <f t="shared" si="1"/>
        <v>1</v>
      </c>
      <c r="Q8">
        <f t="shared" si="2"/>
        <v>1</v>
      </c>
      <c r="R8">
        <f t="shared" si="3"/>
        <v>1</v>
      </c>
      <c r="S8">
        <f t="shared" si="4"/>
        <v>1</v>
      </c>
      <c r="T8">
        <f t="shared" si="5"/>
        <v>1</v>
      </c>
      <c r="U8">
        <f t="shared" si="6"/>
        <v>1</v>
      </c>
      <c r="V8" s="7">
        <f t="shared" si="7"/>
        <v>0</v>
      </c>
      <c r="W8">
        <f t="shared" si="8"/>
        <v>0</v>
      </c>
      <c r="X8">
        <f t="shared" si="9"/>
        <v>0</v>
      </c>
      <c r="Y8">
        <f t="shared" si="10"/>
        <v>0</v>
      </c>
      <c r="Z8">
        <f t="shared" si="11"/>
        <v>0</v>
      </c>
      <c r="AA8">
        <f>IF(F8&gt;0,(RANK(M8,$H8:N8)),0)</f>
        <v>0</v>
      </c>
      <c r="AB8">
        <f t="shared" si="12"/>
        <v>0</v>
      </c>
    </row>
    <row r="9" spans="1:28" x14ac:dyDescent="0.2">
      <c r="A9">
        <f>Spieltage!I134</f>
        <v>0</v>
      </c>
      <c r="B9">
        <f>Spieltage!K134</f>
        <v>0</v>
      </c>
      <c r="C9">
        <f>Spieltage!M134</f>
        <v>0</v>
      </c>
      <c r="D9">
        <f>Spieltage!O134</f>
        <v>0</v>
      </c>
      <c r="E9">
        <f>Spieltage!Q134</f>
        <v>0</v>
      </c>
      <c r="F9">
        <f>Spieltage!S134</f>
        <v>0</v>
      </c>
      <c r="G9">
        <f>Spieltage!U134</f>
        <v>0</v>
      </c>
      <c r="H9" s="7">
        <f>Spieltage!J134</f>
        <v>0</v>
      </c>
      <c r="I9">
        <f>Spieltage!L134</f>
        <v>0</v>
      </c>
      <c r="J9">
        <f>Spieltage!N134</f>
        <v>0</v>
      </c>
      <c r="K9">
        <f>Spieltage!P134</f>
        <v>0</v>
      </c>
      <c r="L9">
        <f>Spieltage!R134</f>
        <v>0</v>
      </c>
      <c r="M9">
        <f>Spieltage!T134</f>
        <v>0</v>
      </c>
      <c r="N9">
        <f>Spieltage!V134</f>
        <v>0</v>
      </c>
      <c r="O9" s="7">
        <f t="shared" si="0"/>
        <v>1</v>
      </c>
      <c r="P9">
        <f t="shared" si="1"/>
        <v>1</v>
      </c>
      <c r="Q9">
        <f t="shared" si="2"/>
        <v>1</v>
      </c>
      <c r="R9">
        <f t="shared" si="3"/>
        <v>1</v>
      </c>
      <c r="S9">
        <f t="shared" si="4"/>
        <v>1</v>
      </c>
      <c r="T9">
        <f t="shared" si="5"/>
        <v>1</v>
      </c>
      <c r="U9">
        <f t="shared" si="6"/>
        <v>1</v>
      </c>
      <c r="V9" s="7">
        <f t="shared" si="7"/>
        <v>0</v>
      </c>
      <c r="W9">
        <f t="shared" si="8"/>
        <v>0</v>
      </c>
      <c r="X9">
        <f t="shared" si="9"/>
        <v>0</v>
      </c>
      <c r="Y9">
        <f t="shared" si="10"/>
        <v>0</v>
      </c>
      <c r="Z9">
        <f t="shared" si="11"/>
        <v>0</v>
      </c>
      <c r="AA9">
        <f>IF(F9&gt;0,(RANK(M9,$H9:N9)),0)</f>
        <v>0</v>
      </c>
      <c r="AB9">
        <f t="shared" si="12"/>
        <v>0</v>
      </c>
    </row>
    <row r="10" spans="1:28" x14ac:dyDescent="0.2">
      <c r="A10">
        <f>Spieltage!I149</f>
        <v>0</v>
      </c>
      <c r="B10">
        <f>Spieltage!K149</f>
        <v>0</v>
      </c>
      <c r="C10">
        <f>Spieltage!M149</f>
        <v>0</v>
      </c>
      <c r="D10">
        <f>Spieltage!O149</f>
        <v>0</v>
      </c>
      <c r="E10">
        <f>Spieltage!Q149</f>
        <v>0</v>
      </c>
      <c r="F10">
        <f>Spieltage!S149</f>
        <v>0</v>
      </c>
      <c r="G10">
        <f>Spieltage!U149</f>
        <v>0</v>
      </c>
      <c r="H10" s="7">
        <f>Spieltage!J149</f>
        <v>0</v>
      </c>
      <c r="I10">
        <f>Spieltage!L149</f>
        <v>0</v>
      </c>
      <c r="J10">
        <f>Spieltage!N149</f>
        <v>0</v>
      </c>
      <c r="K10">
        <f>Spieltage!P149</f>
        <v>0</v>
      </c>
      <c r="L10">
        <f>Spieltage!R149</f>
        <v>0</v>
      </c>
      <c r="M10">
        <f>Spieltage!T149</f>
        <v>0</v>
      </c>
      <c r="N10">
        <f>Spieltage!V149</f>
        <v>0</v>
      </c>
      <c r="O10" s="7">
        <f t="shared" si="0"/>
        <v>1</v>
      </c>
      <c r="P10">
        <f t="shared" si="1"/>
        <v>1</v>
      </c>
      <c r="Q10">
        <f t="shared" si="2"/>
        <v>1</v>
      </c>
      <c r="R10">
        <f t="shared" si="3"/>
        <v>1</v>
      </c>
      <c r="S10">
        <f t="shared" si="4"/>
        <v>1</v>
      </c>
      <c r="T10">
        <f t="shared" si="5"/>
        <v>1</v>
      </c>
      <c r="U10">
        <f t="shared" si="6"/>
        <v>1</v>
      </c>
      <c r="V10" s="7">
        <f t="shared" si="7"/>
        <v>0</v>
      </c>
      <c r="W10">
        <f t="shared" si="8"/>
        <v>0</v>
      </c>
      <c r="X10">
        <f t="shared" si="9"/>
        <v>0</v>
      </c>
      <c r="Y10">
        <f t="shared" si="10"/>
        <v>0</v>
      </c>
      <c r="Z10">
        <f t="shared" si="11"/>
        <v>0</v>
      </c>
      <c r="AA10">
        <f>IF(F10&gt;0,(RANK(M10,$H10:N10)),0)</f>
        <v>0</v>
      </c>
      <c r="AB10">
        <f t="shared" si="12"/>
        <v>0</v>
      </c>
    </row>
    <row r="11" spans="1:28" x14ac:dyDescent="0.2">
      <c r="A11">
        <f>Spieltage!I164</f>
        <v>0</v>
      </c>
      <c r="B11">
        <f>Spieltage!K164</f>
        <v>0</v>
      </c>
      <c r="C11">
        <f>Spieltage!M164</f>
        <v>0</v>
      </c>
      <c r="D11">
        <f>Spieltage!O164</f>
        <v>0</v>
      </c>
      <c r="E11">
        <f>Spieltage!Q164</f>
        <v>0</v>
      </c>
      <c r="F11">
        <f>Spieltage!S164</f>
        <v>0</v>
      </c>
      <c r="G11">
        <f>Spieltage!U164</f>
        <v>0</v>
      </c>
      <c r="H11" s="7">
        <f>Spieltage!J164</f>
        <v>0</v>
      </c>
      <c r="I11">
        <f>Spieltage!L164</f>
        <v>0</v>
      </c>
      <c r="J11">
        <f>Spieltage!N164</f>
        <v>0</v>
      </c>
      <c r="K11">
        <f>Spieltage!P164</f>
        <v>0</v>
      </c>
      <c r="L11">
        <f>Spieltage!R164</f>
        <v>0</v>
      </c>
      <c r="M11">
        <f>Spieltage!T164</f>
        <v>0</v>
      </c>
      <c r="N11">
        <f>Spieltage!V164</f>
        <v>0</v>
      </c>
      <c r="O11" s="7">
        <f t="shared" si="0"/>
        <v>1</v>
      </c>
      <c r="P11">
        <f t="shared" si="1"/>
        <v>1</v>
      </c>
      <c r="Q11">
        <f t="shared" si="2"/>
        <v>1</v>
      </c>
      <c r="R11">
        <f t="shared" si="3"/>
        <v>1</v>
      </c>
      <c r="S11">
        <f t="shared" si="4"/>
        <v>1</v>
      </c>
      <c r="T11">
        <f t="shared" si="5"/>
        <v>1</v>
      </c>
      <c r="U11">
        <f t="shared" si="6"/>
        <v>1</v>
      </c>
      <c r="V11" s="7">
        <f t="shared" si="7"/>
        <v>0</v>
      </c>
      <c r="W11">
        <f t="shared" si="8"/>
        <v>0</v>
      </c>
      <c r="X11">
        <f t="shared" si="9"/>
        <v>0</v>
      </c>
      <c r="Y11">
        <f t="shared" si="10"/>
        <v>0</v>
      </c>
      <c r="Z11">
        <f t="shared" si="11"/>
        <v>0</v>
      </c>
      <c r="AA11">
        <f>IF(F11&gt;0,(RANK(M11,$H11:N11)),0)</f>
        <v>0</v>
      </c>
      <c r="AB11">
        <f t="shared" si="12"/>
        <v>0</v>
      </c>
    </row>
    <row r="12" spans="1:28" x14ac:dyDescent="0.2">
      <c r="A12">
        <f>Spieltage!I179</f>
        <v>0</v>
      </c>
      <c r="B12">
        <f>Spieltage!K179</f>
        <v>0</v>
      </c>
      <c r="C12">
        <f>Spieltage!M179</f>
        <v>0</v>
      </c>
      <c r="D12">
        <f>Spieltage!O179</f>
        <v>0</v>
      </c>
      <c r="E12">
        <f>Spieltage!Q179</f>
        <v>0</v>
      </c>
      <c r="F12">
        <f>Spieltage!S179</f>
        <v>0</v>
      </c>
      <c r="G12">
        <f>Spieltage!U179</f>
        <v>0</v>
      </c>
      <c r="H12" s="7">
        <f>Spieltage!J179</f>
        <v>0</v>
      </c>
      <c r="I12">
        <f>Spieltage!L179</f>
        <v>0</v>
      </c>
      <c r="J12">
        <f>Spieltage!N179</f>
        <v>0</v>
      </c>
      <c r="K12">
        <f>Spieltage!P179</f>
        <v>0</v>
      </c>
      <c r="L12">
        <f>Spieltage!R179</f>
        <v>0</v>
      </c>
      <c r="M12">
        <f>Spieltage!T179</f>
        <v>0</v>
      </c>
      <c r="N12">
        <f>Spieltage!V179</f>
        <v>0</v>
      </c>
      <c r="O12" s="7">
        <f t="shared" si="0"/>
        <v>1</v>
      </c>
      <c r="P12">
        <f t="shared" si="1"/>
        <v>1</v>
      </c>
      <c r="Q12">
        <f t="shared" si="2"/>
        <v>1</v>
      </c>
      <c r="R12">
        <f t="shared" si="3"/>
        <v>1</v>
      </c>
      <c r="S12">
        <f t="shared" si="4"/>
        <v>1</v>
      </c>
      <c r="T12">
        <f t="shared" si="5"/>
        <v>1</v>
      </c>
      <c r="U12">
        <f t="shared" si="6"/>
        <v>1</v>
      </c>
      <c r="V12" s="7">
        <f t="shared" si="7"/>
        <v>0</v>
      </c>
      <c r="W12">
        <f t="shared" si="8"/>
        <v>0</v>
      </c>
      <c r="X12">
        <f t="shared" si="9"/>
        <v>0</v>
      </c>
      <c r="Y12">
        <f t="shared" si="10"/>
        <v>0</v>
      </c>
      <c r="Z12">
        <f t="shared" si="11"/>
        <v>0</v>
      </c>
      <c r="AA12">
        <f>IF(F12&gt;0,(RANK(M12,$H12:N12)),0)</f>
        <v>0</v>
      </c>
      <c r="AB12">
        <f t="shared" si="12"/>
        <v>0</v>
      </c>
    </row>
    <row r="13" spans="1:28" x14ac:dyDescent="0.2">
      <c r="A13">
        <f>Spieltage!I194</f>
        <v>0</v>
      </c>
      <c r="B13">
        <f>Spieltage!K194</f>
        <v>0</v>
      </c>
      <c r="C13">
        <f>Spieltage!M194</f>
        <v>0</v>
      </c>
      <c r="D13">
        <f>Spieltage!O194</f>
        <v>0</v>
      </c>
      <c r="E13">
        <f>Spieltage!Q194</f>
        <v>0</v>
      </c>
      <c r="F13">
        <f>Spieltage!S194</f>
        <v>0</v>
      </c>
      <c r="G13">
        <f>Spieltage!U194</f>
        <v>0</v>
      </c>
      <c r="H13" s="7">
        <f>Spieltage!J194</f>
        <v>0</v>
      </c>
      <c r="I13">
        <f>Spieltage!L194</f>
        <v>0</v>
      </c>
      <c r="J13">
        <f>Spieltage!N194</f>
        <v>0</v>
      </c>
      <c r="K13">
        <f>Spieltage!P194</f>
        <v>0</v>
      </c>
      <c r="L13">
        <f>Spieltage!R194</f>
        <v>0</v>
      </c>
      <c r="M13">
        <f>Spieltage!T194</f>
        <v>0</v>
      </c>
      <c r="N13">
        <f>Spieltage!V194</f>
        <v>0</v>
      </c>
      <c r="O13" s="7">
        <f t="shared" si="0"/>
        <v>1</v>
      </c>
      <c r="P13">
        <f t="shared" si="1"/>
        <v>1</v>
      </c>
      <c r="Q13">
        <f t="shared" si="2"/>
        <v>1</v>
      </c>
      <c r="R13">
        <f t="shared" si="3"/>
        <v>1</v>
      </c>
      <c r="S13">
        <f t="shared" si="4"/>
        <v>1</v>
      </c>
      <c r="T13">
        <f t="shared" si="5"/>
        <v>1</v>
      </c>
      <c r="U13">
        <f t="shared" si="6"/>
        <v>1</v>
      </c>
      <c r="V13" s="7">
        <f t="shared" si="7"/>
        <v>0</v>
      </c>
      <c r="W13">
        <f t="shared" si="8"/>
        <v>0</v>
      </c>
      <c r="X13">
        <f t="shared" si="9"/>
        <v>0</v>
      </c>
      <c r="Y13">
        <f t="shared" si="10"/>
        <v>0</v>
      </c>
      <c r="Z13">
        <f t="shared" si="11"/>
        <v>0</v>
      </c>
      <c r="AA13">
        <f>IF(F13&gt;0,(RANK(M13,$H13:N13)),0)</f>
        <v>0</v>
      </c>
      <c r="AB13">
        <f t="shared" si="12"/>
        <v>0</v>
      </c>
    </row>
    <row r="14" spans="1:28" x14ac:dyDescent="0.2">
      <c r="A14">
        <f>Spieltage!I209</f>
        <v>0</v>
      </c>
      <c r="B14">
        <f>Spieltage!K209</f>
        <v>0</v>
      </c>
      <c r="C14">
        <f>Spieltage!M209</f>
        <v>0</v>
      </c>
      <c r="D14">
        <f>Spieltage!O209</f>
        <v>0</v>
      </c>
      <c r="E14">
        <f>Spieltage!Q209</f>
        <v>0</v>
      </c>
      <c r="F14">
        <f>Spieltage!S209</f>
        <v>0</v>
      </c>
      <c r="G14">
        <f>Spieltage!U209</f>
        <v>0</v>
      </c>
      <c r="H14" s="7">
        <f>Spieltage!J209</f>
        <v>0</v>
      </c>
      <c r="I14">
        <f>Spieltage!L209</f>
        <v>0</v>
      </c>
      <c r="J14">
        <f>Spieltage!N209</f>
        <v>0</v>
      </c>
      <c r="K14">
        <f>Spieltage!P209</f>
        <v>0</v>
      </c>
      <c r="L14">
        <f>Spieltage!R209</f>
        <v>0</v>
      </c>
      <c r="M14">
        <f>Spieltage!T209</f>
        <v>0</v>
      </c>
      <c r="N14">
        <f>Spieltage!V209</f>
        <v>0</v>
      </c>
      <c r="O14" s="7">
        <f t="shared" si="0"/>
        <v>1</v>
      </c>
      <c r="P14">
        <f t="shared" si="1"/>
        <v>1</v>
      </c>
      <c r="Q14">
        <f t="shared" si="2"/>
        <v>1</v>
      </c>
      <c r="R14">
        <f t="shared" si="3"/>
        <v>1</v>
      </c>
      <c r="S14">
        <f t="shared" si="4"/>
        <v>1</v>
      </c>
      <c r="T14">
        <f t="shared" si="5"/>
        <v>1</v>
      </c>
      <c r="U14">
        <f t="shared" si="6"/>
        <v>1</v>
      </c>
      <c r="V14" s="7">
        <f t="shared" si="7"/>
        <v>0</v>
      </c>
      <c r="W14">
        <f t="shared" si="8"/>
        <v>0</v>
      </c>
      <c r="X14">
        <f t="shared" si="9"/>
        <v>0</v>
      </c>
      <c r="Y14">
        <f t="shared" si="10"/>
        <v>0</v>
      </c>
      <c r="Z14">
        <f t="shared" si="11"/>
        <v>0</v>
      </c>
      <c r="AA14">
        <f>IF(F14&gt;0,(RANK(M14,$H14:N14)),0)</f>
        <v>0</v>
      </c>
      <c r="AB14">
        <f t="shared" si="12"/>
        <v>0</v>
      </c>
    </row>
    <row r="15" spans="1:28" x14ac:dyDescent="0.2">
      <c r="A15">
        <f>Spieltage!I224</f>
        <v>0</v>
      </c>
      <c r="B15">
        <f>Spieltage!K224</f>
        <v>0</v>
      </c>
      <c r="C15">
        <f>Spieltage!M224</f>
        <v>0</v>
      </c>
      <c r="D15">
        <f>Spieltage!O224</f>
        <v>0</v>
      </c>
      <c r="E15">
        <f>Spieltage!Q224</f>
        <v>0</v>
      </c>
      <c r="F15">
        <f>Spieltage!S224</f>
        <v>0</v>
      </c>
      <c r="G15">
        <f>Spieltage!U224</f>
        <v>0</v>
      </c>
      <c r="H15" s="7">
        <f>Spieltage!J224</f>
        <v>0</v>
      </c>
      <c r="I15">
        <f>Spieltage!L224</f>
        <v>0</v>
      </c>
      <c r="J15">
        <f>Spieltage!N224</f>
        <v>0</v>
      </c>
      <c r="K15">
        <f>Spieltage!P224</f>
        <v>0</v>
      </c>
      <c r="L15">
        <f>Spieltage!R224</f>
        <v>0</v>
      </c>
      <c r="M15">
        <f>Spieltage!T224</f>
        <v>0</v>
      </c>
      <c r="N15">
        <f>Spieltage!V224</f>
        <v>0</v>
      </c>
      <c r="O15" s="7">
        <f t="shared" si="0"/>
        <v>1</v>
      </c>
      <c r="P15">
        <f t="shared" si="1"/>
        <v>1</v>
      </c>
      <c r="Q15">
        <f t="shared" si="2"/>
        <v>1</v>
      </c>
      <c r="R15">
        <f t="shared" si="3"/>
        <v>1</v>
      </c>
      <c r="S15">
        <f t="shared" si="4"/>
        <v>1</v>
      </c>
      <c r="T15">
        <f t="shared" si="5"/>
        <v>1</v>
      </c>
      <c r="U15">
        <f t="shared" si="6"/>
        <v>1</v>
      </c>
      <c r="V15" s="7">
        <f t="shared" si="7"/>
        <v>0</v>
      </c>
      <c r="W15">
        <f t="shared" si="8"/>
        <v>0</v>
      </c>
      <c r="X15">
        <f t="shared" si="9"/>
        <v>0</v>
      </c>
      <c r="Y15">
        <f t="shared" si="10"/>
        <v>0</v>
      </c>
      <c r="Z15">
        <f t="shared" si="11"/>
        <v>0</v>
      </c>
      <c r="AA15">
        <f>IF(F15&gt;0,(RANK(M15,$H15:N15)),0)</f>
        <v>0</v>
      </c>
      <c r="AB15">
        <f t="shared" si="12"/>
        <v>0</v>
      </c>
    </row>
    <row r="16" spans="1:28" x14ac:dyDescent="0.2">
      <c r="A16">
        <f>Spieltage!I239</f>
        <v>0</v>
      </c>
      <c r="B16">
        <f>Spieltage!K239</f>
        <v>0</v>
      </c>
      <c r="C16">
        <f>Spieltage!M239</f>
        <v>0</v>
      </c>
      <c r="D16">
        <f>Spieltage!O239</f>
        <v>0</v>
      </c>
      <c r="E16">
        <f>Spieltage!Q239</f>
        <v>0</v>
      </c>
      <c r="F16">
        <f>Spieltage!S239</f>
        <v>0</v>
      </c>
      <c r="G16">
        <f>Spieltage!U239</f>
        <v>0</v>
      </c>
      <c r="H16" s="7">
        <f>Spieltage!J239</f>
        <v>0</v>
      </c>
      <c r="I16">
        <f>Spieltage!L239</f>
        <v>0</v>
      </c>
      <c r="J16">
        <f>Spieltage!N239</f>
        <v>0</v>
      </c>
      <c r="K16">
        <f>Spieltage!P239</f>
        <v>0</v>
      </c>
      <c r="L16">
        <f>Spieltage!R239</f>
        <v>0</v>
      </c>
      <c r="M16">
        <f>Spieltage!T239</f>
        <v>0</v>
      </c>
      <c r="N16">
        <f>Spieltage!V239</f>
        <v>0</v>
      </c>
      <c r="O16" s="7">
        <f t="shared" si="0"/>
        <v>1</v>
      </c>
      <c r="P16">
        <f t="shared" si="1"/>
        <v>1</v>
      </c>
      <c r="Q16">
        <f t="shared" si="2"/>
        <v>1</v>
      </c>
      <c r="R16">
        <f t="shared" si="3"/>
        <v>1</v>
      </c>
      <c r="S16">
        <f t="shared" si="4"/>
        <v>1</v>
      </c>
      <c r="T16">
        <f t="shared" si="5"/>
        <v>1</v>
      </c>
      <c r="U16">
        <f t="shared" si="6"/>
        <v>1</v>
      </c>
      <c r="V16" s="7">
        <f t="shared" si="7"/>
        <v>0</v>
      </c>
      <c r="W16">
        <f t="shared" si="8"/>
        <v>0</v>
      </c>
      <c r="X16">
        <f t="shared" si="9"/>
        <v>0</v>
      </c>
      <c r="Y16">
        <f t="shared" si="10"/>
        <v>0</v>
      </c>
      <c r="Z16">
        <f t="shared" si="11"/>
        <v>0</v>
      </c>
      <c r="AA16">
        <f>IF(F16&gt;0,(RANK(M16,$H16:N16)),0)</f>
        <v>0</v>
      </c>
      <c r="AB16">
        <f t="shared" si="12"/>
        <v>0</v>
      </c>
    </row>
    <row r="17" spans="1:28" x14ac:dyDescent="0.2">
      <c r="A17">
        <f>Spieltage!I254</f>
        <v>0</v>
      </c>
      <c r="B17">
        <f>Spieltage!K254</f>
        <v>0</v>
      </c>
      <c r="C17">
        <f>Spieltage!M254</f>
        <v>0</v>
      </c>
      <c r="D17">
        <f>Spieltage!O254</f>
        <v>0</v>
      </c>
      <c r="E17">
        <f>Spieltage!Q254</f>
        <v>0</v>
      </c>
      <c r="F17">
        <f>Spieltage!S254</f>
        <v>0</v>
      </c>
      <c r="G17">
        <f>Spieltage!U254</f>
        <v>0</v>
      </c>
      <c r="H17" s="7">
        <f>Spieltage!J254</f>
        <v>0</v>
      </c>
      <c r="I17">
        <f>Spieltage!L254</f>
        <v>0</v>
      </c>
      <c r="J17">
        <f>Spieltage!N254</f>
        <v>0</v>
      </c>
      <c r="K17">
        <f>Spieltage!P254</f>
        <v>0</v>
      </c>
      <c r="L17">
        <f>Spieltage!R254</f>
        <v>0</v>
      </c>
      <c r="M17">
        <f>Spieltage!T254</f>
        <v>0</v>
      </c>
      <c r="N17">
        <f>Spieltage!V254</f>
        <v>0</v>
      </c>
      <c r="O17" s="7">
        <f t="shared" si="0"/>
        <v>1</v>
      </c>
      <c r="P17">
        <f t="shared" si="1"/>
        <v>1</v>
      </c>
      <c r="Q17">
        <f t="shared" si="2"/>
        <v>1</v>
      </c>
      <c r="R17">
        <f t="shared" si="3"/>
        <v>1</v>
      </c>
      <c r="S17">
        <f t="shared" si="4"/>
        <v>1</v>
      </c>
      <c r="T17">
        <f t="shared" si="5"/>
        <v>1</v>
      </c>
      <c r="U17">
        <f t="shared" si="6"/>
        <v>1</v>
      </c>
      <c r="V17" s="7">
        <f t="shared" si="7"/>
        <v>0</v>
      </c>
      <c r="W17">
        <f t="shared" si="8"/>
        <v>0</v>
      </c>
      <c r="X17">
        <f t="shared" si="9"/>
        <v>0</v>
      </c>
      <c r="Y17">
        <f t="shared" si="10"/>
        <v>0</v>
      </c>
      <c r="Z17">
        <f t="shared" si="11"/>
        <v>0</v>
      </c>
      <c r="AA17">
        <f>IF(F17&gt;0,(RANK(M17,$H17:N17)),0)</f>
        <v>0</v>
      </c>
      <c r="AB17">
        <f t="shared" si="12"/>
        <v>0</v>
      </c>
    </row>
    <row r="18" spans="1:28" x14ac:dyDescent="0.2">
      <c r="A18">
        <f>Spieltage!I269</f>
        <v>0</v>
      </c>
      <c r="B18">
        <f>Spieltage!K269</f>
        <v>0</v>
      </c>
      <c r="C18">
        <f>Spieltage!M269</f>
        <v>0</v>
      </c>
      <c r="D18">
        <f>Spieltage!O269</f>
        <v>0</v>
      </c>
      <c r="E18">
        <f>Spieltage!Q269</f>
        <v>0</v>
      </c>
      <c r="F18">
        <f>Spieltage!S269</f>
        <v>0</v>
      </c>
      <c r="G18">
        <f>Spieltage!U269</f>
        <v>0</v>
      </c>
      <c r="H18" s="7">
        <f>Spieltage!J269</f>
        <v>0</v>
      </c>
      <c r="I18">
        <f>Spieltage!L269</f>
        <v>0</v>
      </c>
      <c r="J18">
        <f>Spieltage!N269</f>
        <v>0</v>
      </c>
      <c r="K18">
        <f>Spieltage!P269</f>
        <v>0</v>
      </c>
      <c r="L18">
        <f>Spieltage!R269</f>
        <v>0</v>
      </c>
      <c r="M18">
        <f>Spieltage!T269</f>
        <v>0</v>
      </c>
      <c r="N18">
        <f>Spieltage!V269</f>
        <v>0</v>
      </c>
      <c r="O18" s="7">
        <f t="shared" si="0"/>
        <v>1</v>
      </c>
      <c r="P18">
        <f t="shared" si="1"/>
        <v>1</v>
      </c>
      <c r="Q18">
        <f t="shared" si="2"/>
        <v>1</v>
      </c>
      <c r="R18">
        <f t="shared" si="3"/>
        <v>1</v>
      </c>
      <c r="S18">
        <f t="shared" si="4"/>
        <v>1</v>
      </c>
      <c r="T18">
        <f t="shared" si="5"/>
        <v>1</v>
      </c>
      <c r="U18">
        <f t="shared" si="6"/>
        <v>1</v>
      </c>
      <c r="V18" s="7">
        <f t="shared" si="7"/>
        <v>0</v>
      </c>
      <c r="W18">
        <f t="shared" si="8"/>
        <v>0</v>
      </c>
      <c r="X18">
        <f t="shared" si="9"/>
        <v>0</v>
      </c>
      <c r="Y18">
        <f t="shared" si="10"/>
        <v>0</v>
      </c>
      <c r="Z18">
        <f t="shared" si="11"/>
        <v>0</v>
      </c>
      <c r="AA18">
        <f>IF(F18&gt;0,(RANK(M18,$H18:N18)),0)</f>
        <v>0</v>
      </c>
      <c r="AB18">
        <f t="shared" si="12"/>
        <v>0</v>
      </c>
    </row>
    <row r="19" spans="1:28" x14ac:dyDescent="0.2">
      <c r="A19">
        <f>Spieltage!I284</f>
        <v>0</v>
      </c>
      <c r="B19">
        <f>Spieltage!K284</f>
        <v>0</v>
      </c>
      <c r="C19">
        <f>Spieltage!M284</f>
        <v>0</v>
      </c>
      <c r="D19">
        <f>Spieltage!O284</f>
        <v>0</v>
      </c>
      <c r="E19">
        <f>Spieltage!Q284</f>
        <v>0</v>
      </c>
      <c r="F19">
        <f>Spieltage!S284</f>
        <v>0</v>
      </c>
      <c r="G19">
        <f>Spieltage!U284</f>
        <v>0</v>
      </c>
      <c r="H19" s="7">
        <f>Spieltage!J284</f>
        <v>0</v>
      </c>
      <c r="I19">
        <f>Spieltage!L284</f>
        <v>0</v>
      </c>
      <c r="J19">
        <f>Spieltage!N284</f>
        <v>0</v>
      </c>
      <c r="K19">
        <f>Spieltage!P284</f>
        <v>0</v>
      </c>
      <c r="L19">
        <f>Spieltage!R284</f>
        <v>0</v>
      </c>
      <c r="M19">
        <f>Spieltage!T284</f>
        <v>0</v>
      </c>
      <c r="N19">
        <f>Spieltage!V284</f>
        <v>0</v>
      </c>
      <c r="O19" s="7">
        <f t="shared" si="0"/>
        <v>1</v>
      </c>
      <c r="P19">
        <f t="shared" si="1"/>
        <v>1</v>
      </c>
      <c r="Q19">
        <f t="shared" si="2"/>
        <v>1</v>
      </c>
      <c r="R19">
        <f t="shared" si="3"/>
        <v>1</v>
      </c>
      <c r="S19">
        <f t="shared" si="4"/>
        <v>1</v>
      </c>
      <c r="T19">
        <f t="shared" si="5"/>
        <v>1</v>
      </c>
      <c r="U19">
        <f t="shared" si="6"/>
        <v>1</v>
      </c>
      <c r="V19" s="7">
        <f t="shared" si="7"/>
        <v>0</v>
      </c>
      <c r="W19">
        <f t="shared" si="8"/>
        <v>0</v>
      </c>
      <c r="X19">
        <f t="shared" si="9"/>
        <v>0</v>
      </c>
      <c r="Y19">
        <f t="shared" si="10"/>
        <v>0</v>
      </c>
      <c r="Z19">
        <f t="shared" si="11"/>
        <v>0</v>
      </c>
      <c r="AA19">
        <f>IF(F19&gt;0,(RANK(M19,$H19:N19)),0)</f>
        <v>0</v>
      </c>
      <c r="AB19">
        <f t="shared" si="12"/>
        <v>0</v>
      </c>
    </row>
    <row r="20" spans="1:28" x14ac:dyDescent="0.2">
      <c r="A20">
        <f>Spieltage!I299</f>
        <v>0</v>
      </c>
      <c r="B20">
        <f>Spieltage!K299</f>
        <v>0</v>
      </c>
      <c r="C20">
        <f>Spieltage!M299</f>
        <v>0</v>
      </c>
      <c r="D20">
        <f>Spieltage!O299</f>
        <v>0</v>
      </c>
      <c r="E20">
        <f>Spieltage!Q299</f>
        <v>0</v>
      </c>
      <c r="F20">
        <f>Spieltage!S299</f>
        <v>0</v>
      </c>
      <c r="G20">
        <f>Spieltage!U299</f>
        <v>0</v>
      </c>
      <c r="H20" s="7">
        <f>Spieltage!J299</f>
        <v>0</v>
      </c>
      <c r="I20">
        <f>Spieltage!L299</f>
        <v>0</v>
      </c>
      <c r="J20">
        <f>Spieltage!N299</f>
        <v>0</v>
      </c>
      <c r="K20">
        <f>Spieltage!P299</f>
        <v>0</v>
      </c>
      <c r="L20">
        <f>Spieltage!R299</f>
        <v>0</v>
      </c>
      <c r="M20">
        <f>Spieltage!T299</f>
        <v>0</v>
      </c>
      <c r="N20">
        <f>Spieltage!V299</f>
        <v>0</v>
      </c>
      <c r="O20" s="7">
        <f t="shared" si="0"/>
        <v>1</v>
      </c>
      <c r="P20">
        <f t="shared" si="1"/>
        <v>1</v>
      </c>
      <c r="Q20">
        <f t="shared" si="2"/>
        <v>1</v>
      </c>
      <c r="R20">
        <f t="shared" si="3"/>
        <v>1</v>
      </c>
      <c r="S20">
        <f t="shared" si="4"/>
        <v>1</v>
      </c>
      <c r="T20">
        <f t="shared" si="5"/>
        <v>1</v>
      </c>
      <c r="U20">
        <f t="shared" si="6"/>
        <v>1</v>
      </c>
      <c r="V20" s="7">
        <f t="shared" si="7"/>
        <v>0</v>
      </c>
      <c r="W20">
        <f t="shared" si="8"/>
        <v>0</v>
      </c>
      <c r="X20">
        <f t="shared" si="9"/>
        <v>0</v>
      </c>
      <c r="Y20">
        <f t="shared" si="10"/>
        <v>0</v>
      </c>
      <c r="Z20">
        <f t="shared" si="11"/>
        <v>0</v>
      </c>
      <c r="AA20">
        <f>IF(F20&gt;0,(RANK(M20,$H20:N20)),0)</f>
        <v>0</v>
      </c>
      <c r="AB20">
        <f t="shared" si="12"/>
        <v>0</v>
      </c>
    </row>
    <row r="21" spans="1:28" x14ac:dyDescent="0.2">
      <c r="A21">
        <f>Spieltage!I314</f>
        <v>0</v>
      </c>
      <c r="B21">
        <f>Spieltage!K314</f>
        <v>0</v>
      </c>
      <c r="C21">
        <f>Spieltage!M314</f>
        <v>0</v>
      </c>
      <c r="D21">
        <f>Spieltage!O314</f>
        <v>0</v>
      </c>
      <c r="E21">
        <f>Spieltage!Q314</f>
        <v>0</v>
      </c>
      <c r="F21">
        <f>Spieltage!S314</f>
        <v>0</v>
      </c>
      <c r="G21">
        <f>Spieltage!U314</f>
        <v>0</v>
      </c>
      <c r="H21" s="7">
        <f>Spieltage!J314</f>
        <v>0</v>
      </c>
      <c r="I21">
        <f>Spieltage!L314</f>
        <v>0</v>
      </c>
      <c r="J21">
        <f>Spieltage!N314</f>
        <v>0</v>
      </c>
      <c r="K21">
        <f>Spieltage!P314</f>
        <v>0</v>
      </c>
      <c r="L21">
        <f>Spieltage!R314</f>
        <v>0</v>
      </c>
      <c r="M21">
        <f>Spieltage!T314</f>
        <v>0</v>
      </c>
      <c r="N21">
        <f>Spieltage!V314</f>
        <v>0</v>
      </c>
      <c r="O21" s="7">
        <f t="shared" si="0"/>
        <v>1</v>
      </c>
      <c r="P21">
        <f t="shared" si="1"/>
        <v>1</v>
      </c>
      <c r="Q21">
        <f t="shared" si="2"/>
        <v>1</v>
      </c>
      <c r="R21">
        <f t="shared" si="3"/>
        <v>1</v>
      </c>
      <c r="S21">
        <f t="shared" si="4"/>
        <v>1</v>
      </c>
      <c r="T21">
        <f t="shared" si="5"/>
        <v>1</v>
      </c>
      <c r="U21">
        <f t="shared" si="6"/>
        <v>1</v>
      </c>
      <c r="V21" s="7">
        <f t="shared" si="7"/>
        <v>0</v>
      </c>
      <c r="W21">
        <f t="shared" si="8"/>
        <v>0</v>
      </c>
      <c r="X21">
        <f t="shared" si="9"/>
        <v>0</v>
      </c>
      <c r="Y21">
        <f t="shared" si="10"/>
        <v>0</v>
      </c>
      <c r="Z21">
        <f t="shared" si="11"/>
        <v>0</v>
      </c>
      <c r="AA21">
        <f>IF(F21&gt;0,(RANK(M21,$H21:N21)),0)</f>
        <v>0</v>
      </c>
      <c r="AB21">
        <f t="shared" si="12"/>
        <v>0</v>
      </c>
    </row>
    <row r="22" spans="1:28" x14ac:dyDescent="0.2">
      <c r="A22">
        <f>Spieltage!I329</f>
        <v>0</v>
      </c>
      <c r="B22">
        <f>Spieltage!K329</f>
        <v>0</v>
      </c>
      <c r="C22">
        <f>Spieltage!M329</f>
        <v>0</v>
      </c>
      <c r="D22">
        <f>Spieltage!O329</f>
        <v>0</v>
      </c>
      <c r="E22">
        <f>Spieltage!Q329</f>
        <v>0</v>
      </c>
      <c r="F22">
        <f>Spieltage!S329</f>
        <v>0</v>
      </c>
      <c r="G22">
        <f>Spieltage!U329</f>
        <v>0</v>
      </c>
      <c r="H22" s="7">
        <f>Spieltage!J329</f>
        <v>0</v>
      </c>
      <c r="I22">
        <f>Spieltage!L329</f>
        <v>0</v>
      </c>
      <c r="J22">
        <f>Spieltage!N329</f>
        <v>0</v>
      </c>
      <c r="K22">
        <f>Spieltage!P329</f>
        <v>0</v>
      </c>
      <c r="L22">
        <f>Spieltage!R329</f>
        <v>0</v>
      </c>
      <c r="M22">
        <f>Spieltage!T329</f>
        <v>0</v>
      </c>
      <c r="N22">
        <f>Spieltage!V329</f>
        <v>0</v>
      </c>
      <c r="O22" s="7">
        <f t="shared" si="0"/>
        <v>1</v>
      </c>
      <c r="P22">
        <f t="shared" si="1"/>
        <v>1</v>
      </c>
      <c r="Q22">
        <f t="shared" si="2"/>
        <v>1</v>
      </c>
      <c r="R22">
        <f t="shared" si="3"/>
        <v>1</v>
      </c>
      <c r="S22">
        <f t="shared" si="4"/>
        <v>1</v>
      </c>
      <c r="T22">
        <f t="shared" si="5"/>
        <v>1</v>
      </c>
      <c r="U22">
        <f t="shared" si="6"/>
        <v>1</v>
      </c>
      <c r="V22" s="7">
        <f t="shared" si="7"/>
        <v>0</v>
      </c>
      <c r="W22">
        <f t="shared" si="8"/>
        <v>0</v>
      </c>
      <c r="X22">
        <f t="shared" si="9"/>
        <v>0</v>
      </c>
      <c r="Y22">
        <f t="shared" si="10"/>
        <v>0</v>
      </c>
      <c r="Z22">
        <f t="shared" si="11"/>
        <v>0</v>
      </c>
      <c r="AA22">
        <f>IF(F22&gt;0,(RANK(M22,$H22:N22)),0)</f>
        <v>0</v>
      </c>
      <c r="AB22">
        <f t="shared" si="12"/>
        <v>0</v>
      </c>
    </row>
    <row r="23" spans="1:28" x14ac:dyDescent="0.2">
      <c r="A23">
        <f>Spieltage!I344</f>
        <v>0</v>
      </c>
      <c r="B23">
        <f>Spieltage!K344</f>
        <v>0</v>
      </c>
      <c r="C23">
        <f>Spieltage!M344</f>
        <v>0</v>
      </c>
      <c r="D23">
        <f>Spieltage!O344</f>
        <v>0</v>
      </c>
      <c r="E23">
        <f>Spieltage!Q344</f>
        <v>0</v>
      </c>
      <c r="F23">
        <f>Spieltage!S344</f>
        <v>0</v>
      </c>
      <c r="G23">
        <f>Spieltage!U344</f>
        <v>0</v>
      </c>
      <c r="H23" s="7">
        <f>Spieltage!J344</f>
        <v>0</v>
      </c>
      <c r="I23">
        <f>Spieltage!L344</f>
        <v>0</v>
      </c>
      <c r="J23">
        <f>Spieltage!N344</f>
        <v>0</v>
      </c>
      <c r="K23">
        <f>Spieltage!P344</f>
        <v>0</v>
      </c>
      <c r="L23">
        <f>Spieltage!R344</f>
        <v>0</v>
      </c>
      <c r="M23">
        <f>Spieltage!T344</f>
        <v>0</v>
      </c>
      <c r="N23">
        <f>Spieltage!V344</f>
        <v>0</v>
      </c>
      <c r="O23" s="7">
        <f t="shared" si="0"/>
        <v>1</v>
      </c>
      <c r="P23">
        <f t="shared" si="1"/>
        <v>1</v>
      </c>
      <c r="Q23">
        <f t="shared" si="2"/>
        <v>1</v>
      </c>
      <c r="R23">
        <f t="shared" si="3"/>
        <v>1</v>
      </c>
      <c r="S23">
        <f t="shared" si="4"/>
        <v>1</v>
      </c>
      <c r="T23">
        <f t="shared" si="5"/>
        <v>1</v>
      </c>
      <c r="U23">
        <f t="shared" si="6"/>
        <v>1</v>
      </c>
      <c r="V23" s="7">
        <f t="shared" si="7"/>
        <v>0</v>
      </c>
      <c r="W23">
        <f t="shared" si="8"/>
        <v>0</v>
      </c>
      <c r="X23">
        <f t="shared" si="9"/>
        <v>0</v>
      </c>
      <c r="Y23">
        <f t="shared" si="10"/>
        <v>0</v>
      </c>
      <c r="Z23">
        <f t="shared" si="11"/>
        <v>0</v>
      </c>
      <c r="AA23">
        <f>IF(F23&gt;0,(RANK(M23,$H23:N23)),0)</f>
        <v>0</v>
      </c>
      <c r="AB23">
        <f t="shared" si="12"/>
        <v>0</v>
      </c>
    </row>
    <row r="24" spans="1:28" x14ac:dyDescent="0.2">
      <c r="A24">
        <f>Spieltage!I359</f>
        <v>0</v>
      </c>
      <c r="B24">
        <f>Spieltage!K359</f>
        <v>0</v>
      </c>
      <c r="C24">
        <f>Spieltage!M359</f>
        <v>0</v>
      </c>
      <c r="D24">
        <f>Spieltage!O359</f>
        <v>0</v>
      </c>
      <c r="E24">
        <f>Spieltage!Q359</f>
        <v>0</v>
      </c>
      <c r="F24">
        <f>Spieltage!S359</f>
        <v>0</v>
      </c>
      <c r="G24">
        <f>Spieltage!U359</f>
        <v>0</v>
      </c>
      <c r="H24" s="7">
        <f>Spieltage!J359</f>
        <v>0</v>
      </c>
      <c r="I24">
        <f>Spieltage!L359</f>
        <v>0</v>
      </c>
      <c r="J24">
        <f>Spieltage!N359</f>
        <v>0</v>
      </c>
      <c r="K24">
        <f>Spieltage!P359</f>
        <v>0</v>
      </c>
      <c r="L24">
        <f>Spieltage!R359</f>
        <v>0</v>
      </c>
      <c r="M24">
        <f>Spieltage!T359</f>
        <v>0</v>
      </c>
      <c r="N24">
        <f>Spieltage!V359</f>
        <v>0</v>
      </c>
      <c r="O24" s="7">
        <f t="shared" si="0"/>
        <v>1</v>
      </c>
      <c r="P24">
        <f t="shared" si="1"/>
        <v>1</v>
      </c>
      <c r="Q24">
        <f t="shared" si="2"/>
        <v>1</v>
      </c>
      <c r="R24">
        <f t="shared" si="3"/>
        <v>1</v>
      </c>
      <c r="S24">
        <f t="shared" si="4"/>
        <v>1</v>
      </c>
      <c r="T24">
        <f t="shared" si="5"/>
        <v>1</v>
      </c>
      <c r="U24">
        <f t="shared" si="6"/>
        <v>1</v>
      </c>
      <c r="V24" s="7">
        <f t="shared" si="7"/>
        <v>0</v>
      </c>
      <c r="W24">
        <f t="shared" si="8"/>
        <v>0</v>
      </c>
      <c r="X24">
        <f t="shared" si="9"/>
        <v>0</v>
      </c>
      <c r="Y24">
        <f t="shared" si="10"/>
        <v>0</v>
      </c>
      <c r="Z24">
        <f t="shared" si="11"/>
        <v>0</v>
      </c>
      <c r="AA24">
        <f>IF(F24&gt;0,(RANK(M24,$H24:N24)),0)</f>
        <v>0</v>
      </c>
      <c r="AB24">
        <f t="shared" si="12"/>
        <v>0</v>
      </c>
    </row>
    <row r="25" spans="1:28" x14ac:dyDescent="0.2">
      <c r="A25">
        <f>Spieltage!I374</f>
        <v>0</v>
      </c>
      <c r="B25">
        <f>Spieltage!K374</f>
        <v>0</v>
      </c>
      <c r="C25">
        <f>Spieltage!M374</f>
        <v>0</v>
      </c>
      <c r="D25">
        <f>Spieltage!O374</f>
        <v>0</v>
      </c>
      <c r="E25">
        <f>Spieltage!Q374</f>
        <v>0</v>
      </c>
      <c r="F25">
        <f>Spieltage!S374</f>
        <v>0</v>
      </c>
      <c r="G25">
        <f>Spieltage!U374</f>
        <v>0</v>
      </c>
      <c r="H25" s="7">
        <f>Spieltage!J374</f>
        <v>0</v>
      </c>
      <c r="I25">
        <f>Spieltage!L374</f>
        <v>0</v>
      </c>
      <c r="J25">
        <f>Spieltage!N374</f>
        <v>0</v>
      </c>
      <c r="K25">
        <f>Spieltage!P374</f>
        <v>0</v>
      </c>
      <c r="L25">
        <f>Spieltage!R374</f>
        <v>0</v>
      </c>
      <c r="M25">
        <f>Spieltage!T374</f>
        <v>0</v>
      </c>
      <c r="N25">
        <f>Spieltage!V374</f>
        <v>0</v>
      </c>
      <c r="O25" s="7">
        <f t="shared" si="0"/>
        <v>1</v>
      </c>
      <c r="P25">
        <f t="shared" si="1"/>
        <v>1</v>
      </c>
      <c r="Q25">
        <f t="shared" si="2"/>
        <v>1</v>
      </c>
      <c r="R25">
        <f t="shared" si="3"/>
        <v>1</v>
      </c>
      <c r="S25">
        <f t="shared" si="4"/>
        <v>1</v>
      </c>
      <c r="T25">
        <f t="shared" si="5"/>
        <v>1</v>
      </c>
      <c r="U25">
        <f t="shared" si="6"/>
        <v>1</v>
      </c>
      <c r="V25" s="7">
        <f t="shared" si="7"/>
        <v>0</v>
      </c>
      <c r="W25">
        <f t="shared" si="8"/>
        <v>0</v>
      </c>
      <c r="X25">
        <f t="shared" si="9"/>
        <v>0</v>
      </c>
      <c r="Y25">
        <f t="shared" si="10"/>
        <v>0</v>
      </c>
      <c r="Z25">
        <f t="shared" si="11"/>
        <v>0</v>
      </c>
      <c r="AA25">
        <f>IF(F25&gt;0,(RANK(M25,$H25:N25)),0)</f>
        <v>0</v>
      </c>
      <c r="AB25">
        <f t="shared" si="12"/>
        <v>0</v>
      </c>
    </row>
    <row r="26" spans="1:28" x14ac:dyDescent="0.2">
      <c r="A26">
        <f>Spieltage!I389</f>
        <v>0</v>
      </c>
      <c r="B26">
        <f>Spieltage!K389</f>
        <v>0</v>
      </c>
      <c r="C26">
        <f>Spieltage!M389</f>
        <v>0</v>
      </c>
      <c r="D26">
        <f>Spieltage!O389</f>
        <v>0</v>
      </c>
      <c r="E26">
        <f>Spieltage!Q389</f>
        <v>0</v>
      </c>
      <c r="F26">
        <f>Spieltage!S389</f>
        <v>0</v>
      </c>
      <c r="G26">
        <f>Spieltage!U389</f>
        <v>0</v>
      </c>
      <c r="H26" s="7">
        <f>Spieltage!J389</f>
        <v>0</v>
      </c>
      <c r="I26">
        <f>Spieltage!L389</f>
        <v>0</v>
      </c>
      <c r="J26">
        <f>Spieltage!N389</f>
        <v>0</v>
      </c>
      <c r="K26">
        <f>Spieltage!P389</f>
        <v>0</v>
      </c>
      <c r="L26">
        <f>Spieltage!R389</f>
        <v>0</v>
      </c>
      <c r="M26">
        <f>Spieltage!T389</f>
        <v>0</v>
      </c>
      <c r="N26">
        <f>Spieltage!V389</f>
        <v>0</v>
      </c>
      <c r="O26" s="7">
        <f t="shared" si="0"/>
        <v>1</v>
      </c>
      <c r="P26">
        <f t="shared" si="1"/>
        <v>1</v>
      </c>
      <c r="Q26">
        <f t="shared" si="2"/>
        <v>1</v>
      </c>
      <c r="R26">
        <f t="shared" si="3"/>
        <v>1</v>
      </c>
      <c r="S26">
        <f t="shared" si="4"/>
        <v>1</v>
      </c>
      <c r="T26">
        <f t="shared" si="5"/>
        <v>1</v>
      </c>
      <c r="U26">
        <f t="shared" si="6"/>
        <v>1</v>
      </c>
      <c r="V26" s="7">
        <f t="shared" si="7"/>
        <v>0</v>
      </c>
      <c r="W26">
        <f t="shared" si="8"/>
        <v>0</v>
      </c>
      <c r="X26">
        <f t="shared" si="9"/>
        <v>0</v>
      </c>
      <c r="Y26">
        <f t="shared" si="10"/>
        <v>0</v>
      </c>
      <c r="Z26">
        <f t="shared" si="11"/>
        <v>0</v>
      </c>
      <c r="AA26">
        <f>IF(F26&gt;0,(RANK(M26,$H26:N26)),0)</f>
        <v>0</v>
      </c>
      <c r="AB26">
        <f t="shared" si="12"/>
        <v>0</v>
      </c>
    </row>
    <row r="27" spans="1:28" x14ac:dyDescent="0.2">
      <c r="A27">
        <f>Spieltage!I404</f>
        <v>0</v>
      </c>
      <c r="B27">
        <f>Spieltage!K404</f>
        <v>0</v>
      </c>
      <c r="C27">
        <f>Spieltage!M404</f>
        <v>0</v>
      </c>
      <c r="D27">
        <f>Spieltage!O404</f>
        <v>0</v>
      </c>
      <c r="E27">
        <f>Spieltage!Q404</f>
        <v>0</v>
      </c>
      <c r="F27">
        <f>Spieltage!S404</f>
        <v>0</v>
      </c>
      <c r="G27">
        <f>Spieltage!U404</f>
        <v>0</v>
      </c>
      <c r="H27" s="7">
        <f>Spieltage!J404</f>
        <v>0</v>
      </c>
      <c r="I27">
        <f>Spieltage!L404</f>
        <v>0</v>
      </c>
      <c r="J27">
        <f>Spieltage!N404</f>
        <v>0</v>
      </c>
      <c r="K27">
        <f>Spieltage!P404</f>
        <v>0</v>
      </c>
      <c r="L27">
        <f>Spieltage!R404</f>
        <v>0</v>
      </c>
      <c r="M27">
        <f>Spieltage!T404</f>
        <v>0</v>
      </c>
      <c r="N27">
        <f>Spieltage!V404</f>
        <v>0</v>
      </c>
      <c r="O27" s="7">
        <f t="shared" si="0"/>
        <v>1</v>
      </c>
      <c r="P27">
        <f t="shared" si="1"/>
        <v>1</v>
      </c>
      <c r="Q27">
        <f t="shared" si="2"/>
        <v>1</v>
      </c>
      <c r="R27">
        <f t="shared" si="3"/>
        <v>1</v>
      </c>
      <c r="S27">
        <f t="shared" si="4"/>
        <v>1</v>
      </c>
      <c r="T27">
        <f t="shared" si="5"/>
        <v>1</v>
      </c>
      <c r="U27">
        <f t="shared" si="6"/>
        <v>1</v>
      </c>
      <c r="V27" s="7">
        <f t="shared" si="7"/>
        <v>0</v>
      </c>
      <c r="W27">
        <f t="shared" si="8"/>
        <v>0</v>
      </c>
      <c r="X27">
        <f t="shared" si="9"/>
        <v>0</v>
      </c>
      <c r="Y27">
        <f t="shared" si="10"/>
        <v>0</v>
      </c>
      <c r="Z27">
        <f t="shared" si="11"/>
        <v>0</v>
      </c>
      <c r="AA27">
        <f>IF(F27&gt;0,(RANK(M27,$H27:N27)),0)</f>
        <v>0</v>
      </c>
      <c r="AB27">
        <f t="shared" si="12"/>
        <v>0</v>
      </c>
    </row>
    <row r="28" spans="1:28" x14ac:dyDescent="0.2">
      <c r="A28">
        <f>Spieltage!I419</f>
        <v>0</v>
      </c>
      <c r="B28">
        <f>Spieltage!K419</f>
        <v>0</v>
      </c>
      <c r="C28">
        <f>Spieltage!M419</f>
        <v>0</v>
      </c>
      <c r="D28">
        <f>Spieltage!O419</f>
        <v>0</v>
      </c>
      <c r="E28">
        <f>Spieltage!Q419</f>
        <v>0</v>
      </c>
      <c r="F28">
        <f>Spieltage!S419</f>
        <v>0</v>
      </c>
      <c r="G28">
        <f>Spieltage!U419</f>
        <v>0</v>
      </c>
      <c r="H28" s="7">
        <f>Spieltage!J419</f>
        <v>0</v>
      </c>
      <c r="I28">
        <f>Spieltage!L419</f>
        <v>0</v>
      </c>
      <c r="J28">
        <f>Spieltage!N419</f>
        <v>0</v>
      </c>
      <c r="K28">
        <f>Spieltage!P419</f>
        <v>0</v>
      </c>
      <c r="L28">
        <f>Spieltage!R419</f>
        <v>0</v>
      </c>
      <c r="M28">
        <f>Spieltage!T419</f>
        <v>0</v>
      </c>
      <c r="N28">
        <f>Spieltage!V419</f>
        <v>0</v>
      </c>
      <c r="O28" s="7">
        <f t="shared" si="0"/>
        <v>1</v>
      </c>
      <c r="P28">
        <f t="shared" si="1"/>
        <v>1</v>
      </c>
      <c r="Q28">
        <f t="shared" si="2"/>
        <v>1</v>
      </c>
      <c r="R28">
        <f t="shared" si="3"/>
        <v>1</v>
      </c>
      <c r="S28">
        <f t="shared" si="4"/>
        <v>1</v>
      </c>
      <c r="T28">
        <f t="shared" si="5"/>
        <v>1</v>
      </c>
      <c r="U28">
        <f t="shared" si="6"/>
        <v>1</v>
      </c>
      <c r="V28" s="7">
        <f t="shared" si="7"/>
        <v>0</v>
      </c>
      <c r="W28">
        <f t="shared" si="8"/>
        <v>0</v>
      </c>
      <c r="X28">
        <f t="shared" si="9"/>
        <v>0</v>
      </c>
      <c r="Y28">
        <f t="shared" si="10"/>
        <v>0</v>
      </c>
      <c r="Z28">
        <f t="shared" si="11"/>
        <v>0</v>
      </c>
      <c r="AA28">
        <f>IF(F28&gt;0,(RANK(M28,$H28:N28)),0)</f>
        <v>0</v>
      </c>
      <c r="AB28">
        <f t="shared" si="12"/>
        <v>0</v>
      </c>
    </row>
    <row r="29" spans="1:28" x14ac:dyDescent="0.2">
      <c r="A29">
        <f>Spieltage!I434</f>
        <v>0</v>
      </c>
      <c r="B29">
        <f>Spieltage!K434</f>
        <v>0</v>
      </c>
      <c r="C29">
        <f>Spieltage!M434</f>
        <v>0</v>
      </c>
      <c r="D29">
        <f>Spieltage!O434</f>
        <v>0</v>
      </c>
      <c r="E29">
        <f>Spieltage!Q434</f>
        <v>0</v>
      </c>
      <c r="F29">
        <f>Spieltage!S434</f>
        <v>0</v>
      </c>
      <c r="G29">
        <f>Spieltage!U434</f>
        <v>0</v>
      </c>
      <c r="H29" s="7">
        <f>Spieltage!J434</f>
        <v>0</v>
      </c>
      <c r="I29">
        <f>Spieltage!L434</f>
        <v>0</v>
      </c>
      <c r="J29">
        <f>Spieltage!N434</f>
        <v>0</v>
      </c>
      <c r="K29">
        <f>Spieltage!P434</f>
        <v>0</v>
      </c>
      <c r="L29">
        <f>Spieltage!R434</f>
        <v>0</v>
      </c>
      <c r="M29">
        <f>Spieltage!T434</f>
        <v>0</v>
      </c>
      <c r="N29">
        <f>Spieltage!V434</f>
        <v>0</v>
      </c>
      <c r="O29" s="7">
        <f t="shared" si="0"/>
        <v>1</v>
      </c>
      <c r="P29">
        <f t="shared" si="1"/>
        <v>1</v>
      </c>
      <c r="Q29">
        <f t="shared" si="2"/>
        <v>1</v>
      </c>
      <c r="R29">
        <f t="shared" si="3"/>
        <v>1</v>
      </c>
      <c r="S29">
        <f t="shared" si="4"/>
        <v>1</v>
      </c>
      <c r="T29">
        <f t="shared" si="5"/>
        <v>1</v>
      </c>
      <c r="U29">
        <f t="shared" si="6"/>
        <v>1</v>
      </c>
      <c r="V29" s="7">
        <f t="shared" si="7"/>
        <v>0</v>
      </c>
      <c r="W29">
        <f t="shared" si="8"/>
        <v>0</v>
      </c>
      <c r="X29">
        <f t="shared" si="9"/>
        <v>0</v>
      </c>
      <c r="Y29">
        <f t="shared" si="10"/>
        <v>0</v>
      </c>
      <c r="Z29">
        <f t="shared" si="11"/>
        <v>0</v>
      </c>
      <c r="AA29">
        <f>IF(F29&gt;0,(RANK(M29,$H29:N29)),0)</f>
        <v>0</v>
      </c>
      <c r="AB29">
        <f t="shared" si="12"/>
        <v>0</v>
      </c>
    </row>
    <row r="30" spans="1:28" x14ac:dyDescent="0.2">
      <c r="A30">
        <f>Spieltage!I449</f>
        <v>0</v>
      </c>
      <c r="B30">
        <f>Spieltage!K449</f>
        <v>0</v>
      </c>
      <c r="C30">
        <f>Spieltage!M449</f>
        <v>0</v>
      </c>
      <c r="D30">
        <f>Spieltage!O449</f>
        <v>0</v>
      </c>
      <c r="E30">
        <f>Spieltage!Q449</f>
        <v>0</v>
      </c>
      <c r="F30">
        <f>Spieltage!S449</f>
        <v>0</v>
      </c>
      <c r="G30">
        <f>Spieltage!U449</f>
        <v>0</v>
      </c>
      <c r="H30" s="7">
        <f>Spieltage!J449</f>
        <v>0</v>
      </c>
      <c r="I30">
        <f>Spieltage!L449</f>
        <v>0</v>
      </c>
      <c r="J30">
        <f>Spieltage!N449</f>
        <v>0</v>
      </c>
      <c r="K30">
        <f>Spieltage!P449</f>
        <v>0</v>
      </c>
      <c r="L30">
        <f>Spieltage!R449</f>
        <v>0</v>
      </c>
      <c r="M30">
        <f>Spieltage!T449</f>
        <v>0</v>
      </c>
      <c r="N30">
        <f>Spieltage!V449</f>
        <v>0</v>
      </c>
      <c r="O30" s="7">
        <f t="shared" si="0"/>
        <v>1</v>
      </c>
      <c r="P30">
        <f t="shared" si="1"/>
        <v>1</v>
      </c>
      <c r="Q30">
        <f t="shared" si="2"/>
        <v>1</v>
      </c>
      <c r="R30">
        <f t="shared" si="3"/>
        <v>1</v>
      </c>
      <c r="S30">
        <f t="shared" si="4"/>
        <v>1</v>
      </c>
      <c r="T30">
        <f t="shared" si="5"/>
        <v>1</v>
      </c>
      <c r="U30">
        <f t="shared" si="6"/>
        <v>1</v>
      </c>
      <c r="V30" s="7">
        <f t="shared" si="7"/>
        <v>0</v>
      </c>
      <c r="W30">
        <f t="shared" si="8"/>
        <v>0</v>
      </c>
      <c r="X30">
        <f t="shared" si="9"/>
        <v>0</v>
      </c>
      <c r="Y30">
        <f t="shared" si="10"/>
        <v>0</v>
      </c>
      <c r="Z30">
        <f t="shared" si="11"/>
        <v>0</v>
      </c>
      <c r="AA30">
        <f>IF(F30&gt;0,(RANK(M30,$H30:N30)),0)</f>
        <v>0</v>
      </c>
      <c r="AB30">
        <f t="shared" si="12"/>
        <v>0</v>
      </c>
    </row>
    <row r="31" spans="1:28" x14ac:dyDescent="0.2">
      <c r="A31">
        <f>Spieltage!I464</f>
        <v>0</v>
      </c>
      <c r="B31">
        <f>Spieltage!K464</f>
        <v>0</v>
      </c>
      <c r="C31">
        <f>Spieltage!M464</f>
        <v>0</v>
      </c>
      <c r="D31">
        <f>Spieltage!O464</f>
        <v>0</v>
      </c>
      <c r="E31">
        <f>Spieltage!Q464</f>
        <v>0</v>
      </c>
      <c r="F31">
        <f>Spieltage!S464</f>
        <v>0</v>
      </c>
      <c r="G31">
        <f>Spieltage!U464</f>
        <v>0</v>
      </c>
      <c r="H31" s="7">
        <f>Spieltage!J464</f>
        <v>0</v>
      </c>
      <c r="I31">
        <f>Spieltage!L464</f>
        <v>0</v>
      </c>
      <c r="J31">
        <f>Spieltage!N464</f>
        <v>0</v>
      </c>
      <c r="K31">
        <f>Spieltage!P464</f>
        <v>0</v>
      </c>
      <c r="L31">
        <f>Spieltage!R464</f>
        <v>0</v>
      </c>
      <c r="M31">
        <f>Spieltage!T464</f>
        <v>0</v>
      </c>
      <c r="N31">
        <f>Spieltage!V464</f>
        <v>0</v>
      </c>
      <c r="O31" s="7">
        <f t="shared" si="0"/>
        <v>1</v>
      </c>
      <c r="P31">
        <f t="shared" si="1"/>
        <v>1</v>
      </c>
      <c r="Q31">
        <f t="shared" si="2"/>
        <v>1</v>
      </c>
      <c r="R31">
        <f t="shared" si="3"/>
        <v>1</v>
      </c>
      <c r="S31">
        <f t="shared" si="4"/>
        <v>1</v>
      </c>
      <c r="T31">
        <f t="shared" si="5"/>
        <v>1</v>
      </c>
      <c r="U31">
        <f t="shared" si="6"/>
        <v>1</v>
      </c>
      <c r="V31" s="7">
        <f t="shared" si="7"/>
        <v>0</v>
      </c>
      <c r="W31">
        <f t="shared" si="8"/>
        <v>0</v>
      </c>
      <c r="X31">
        <f t="shared" si="9"/>
        <v>0</v>
      </c>
      <c r="Y31">
        <f t="shared" si="10"/>
        <v>0</v>
      </c>
      <c r="Z31">
        <f t="shared" si="11"/>
        <v>0</v>
      </c>
      <c r="AA31">
        <f>IF(F31&gt;0,(RANK(M31,$H31:N31)),0)</f>
        <v>0</v>
      </c>
      <c r="AB31">
        <f t="shared" si="12"/>
        <v>0</v>
      </c>
    </row>
    <row r="32" spans="1:28" x14ac:dyDescent="0.2">
      <c r="A32">
        <f>Spieltage!I479</f>
        <v>0</v>
      </c>
      <c r="B32">
        <f>Spieltage!K479</f>
        <v>0</v>
      </c>
      <c r="C32">
        <f>Spieltage!M479</f>
        <v>0</v>
      </c>
      <c r="D32">
        <f>Spieltage!O479</f>
        <v>0</v>
      </c>
      <c r="E32">
        <f>Spieltage!Q479</f>
        <v>0</v>
      </c>
      <c r="F32">
        <f>Spieltage!S479</f>
        <v>0</v>
      </c>
      <c r="G32">
        <f>Spieltage!U479</f>
        <v>0</v>
      </c>
      <c r="H32" s="7">
        <f>Spieltage!J479</f>
        <v>0</v>
      </c>
      <c r="I32">
        <f>Spieltage!L479</f>
        <v>0</v>
      </c>
      <c r="J32">
        <f>Spieltage!N479</f>
        <v>0</v>
      </c>
      <c r="K32">
        <f>Spieltage!P479</f>
        <v>0</v>
      </c>
      <c r="L32">
        <f>Spieltage!R479</f>
        <v>0</v>
      </c>
      <c r="M32">
        <f>Spieltage!T479</f>
        <v>0</v>
      </c>
      <c r="N32">
        <f>Spieltage!V479</f>
        <v>0</v>
      </c>
      <c r="O32" s="7">
        <f t="shared" si="0"/>
        <v>1</v>
      </c>
      <c r="P32">
        <f t="shared" si="1"/>
        <v>1</v>
      </c>
      <c r="Q32">
        <f t="shared" si="2"/>
        <v>1</v>
      </c>
      <c r="R32">
        <f t="shared" si="3"/>
        <v>1</v>
      </c>
      <c r="S32">
        <f t="shared" si="4"/>
        <v>1</v>
      </c>
      <c r="T32">
        <f t="shared" si="5"/>
        <v>1</v>
      </c>
      <c r="U32">
        <f t="shared" si="6"/>
        <v>1</v>
      </c>
      <c r="V32" s="7">
        <f t="shared" si="7"/>
        <v>0</v>
      </c>
      <c r="W32">
        <f t="shared" si="8"/>
        <v>0</v>
      </c>
      <c r="X32">
        <f t="shared" si="9"/>
        <v>0</v>
      </c>
      <c r="Y32">
        <f t="shared" si="10"/>
        <v>0</v>
      </c>
      <c r="Z32">
        <f t="shared" si="11"/>
        <v>0</v>
      </c>
      <c r="AA32">
        <f>IF(F32&gt;0,(RANK(M32,$H32:N32)),0)</f>
        <v>0</v>
      </c>
      <c r="AB32">
        <f t="shared" si="12"/>
        <v>0</v>
      </c>
    </row>
    <row r="33" spans="1:39" x14ac:dyDescent="0.2">
      <c r="A33">
        <f>Spieltage!I494</f>
        <v>0</v>
      </c>
      <c r="B33">
        <f>Spieltage!K494</f>
        <v>0</v>
      </c>
      <c r="C33">
        <f>Spieltage!M494</f>
        <v>0</v>
      </c>
      <c r="D33">
        <f>Spieltage!O494</f>
        <v>0</v>
      </c>
      <c r="E33">
        <f>Spieltage!Q494</f>
        <v>0</v>
      </c>
      <c r="F33">
        <f>Spieltage!S494</f>
        <v>0</v>
      </c>
      <c r="G33">
        <f>Spieltage!U494</f>
        <v>0</v>
      </c>
      <c r="H33" s="7">
        <f>Spieltage!J494</f>
        <v>0</v>
      </c>
      <c r="I33">
        <f>Spieltage!L494</f>
        <v>0</v>
      </c>
      <c r="J33">
        <f>Spieltage!N494</f>
        <v>0</v>
      </c>
      <c r="K33">
        <f>Spieltage!P494</f>
        <v>0</v>
      </c>
      <c r="L33">
        <f>Spieltage!R494</f>
        <v>0</v>
      </c>
      <c r="M33">
        <f>Spieltage!T494</f>
        <v>0</v>
      </c>
      <c r="N33">
        <f>Spieltage!V494</f>
        <v>0</v>
      </c>
      <c r="O33" s="7">
        <f t="shared" si="0"/>
        <v>1</v>
      </c>
      <c r="P33">
        <f t="shared" si="1"/>
        <v>1</v>
      </c>
      <c r="Q33">
        <f t="shared" si="2"/>
        <v>1</v>
      </c>
      <c r="R33">
        <f t="shared" si="3"/>
        <v>1</v>
      </c>
      <c r="S33">
        <f t="shared" si="4"/>
        <v>1</v>
      </c>
      <c r="T33">
        <f t="shared" si="5"/>
        <v>1</v>
      </c>
      <c r="U33">
        <f t="shared" si="6"/>
        <v>1</v>
      </c>
      <c r="V33" s="7">
        <f t="shared" si="7"/>
        <v>0</v>
      </c>
      <c r="W33">
        <f t="shared" si="8"/>
        <v>0</v>
      </c>
      <c r="X33">
        <f t="shared" si="9"/>
        <v>0</v>
      </c>
      <c r="Y33">
        <f t="shared" si="10"/>
        <v>0</v>
      </c>
      <c r="Z33">
        <f t="shared" si="11"/>
        <v>0</v>
      </c>
      <c r="AA33">
        <f>IF(F33&gt;0,(RANK(M33,$H33:N33)),0)</f>
        <v>0</v>
      </c>
      <c r="AB33">
        <f t="shared" si="12"/>
        <v>0</v>
      </c>
    </row>
    <row r="34" spans="1:39" x14ac:dyDescent="0.2">
      <c r="A34">
        <f>Spieltage!I509</f>
        <v>0</v>
      </c>
      <c r="B34">
        <f>Spieltage!K509</f>
        <v>0</v>
      </c>
      <c r="C34">
        <f>Spieltage!M509</f>
        <v>0</v>
      </c>
      <c r="D34">
        <f>Spieltage!O509</f>
        <v>0</v>
      </c>
      <c r="E34">
        <f>Spieltage!Q509</f>
        <v>0</v>
      </c>
      <c r="F34">
        <f>Spieltage!S509</f>
        <v>0</v>
      </c>
      <c r="G34">
        <f>Spieltage!U509</f>
        <v>0</v>
      </c>
      <c r="H34" s="7">
        <f>Spieltage!J509</f>
        <v>0</v>
      </c>
      <c r="I34">
        <f>Spieltage!L509</f>
        <v>0</v>
      </c>
      <c r="J34">
        <f>Spieltage!N509</f>
        <v>0</v>
      </c>
      <c r="K34">
        <f>Spieltage!P509</f>
        <v>0</v>
      </c>
      <c r="L34">
        <f>Spieltage!R509</f>
        <v>0</v>
      </c>
      <c r="M34">
        <f>Spieltage!T509</f>
        <v>0</v>
      </c>
      <c r="N34">
        <f>Spieltage!V509</f>
        <v>0</v>
      </c>
      <c r="O34" s="7">
        <f t="shared" si="0"/>
        <v>1</v>
      </c>
      <c r="P34">
        <f t="shared" si="1"/>
        <v>1</v>
      </c>
      <c r="Q34">
        <f t="shared" si="2"/>
        <v>1</v>
      </c>
      <c r="R34">
        <f t="shared" si="3"/>
        <v>1</v>
      </c>
      <c r="S34">
        <f t="shared" si="4"/>
        <v>1</v>
      </c>
      <c r="T34">
        <f t="shared" si="5"/>
        <v>1</v>
      </c>
      <c r="U34">
        <f t="shared" si="6"/>
        <v>1</v>
      </c>
      <c r="V34" s="7">
        <f t="shared" si="7"/>
        <v>0</v>
      </c>
      <c r="W34">
        <f t="shared" si="8"/>
        <v>0</v>
      </c>
      <c r="X34">
        <f t="shared" si="9"/>
        <v>0</v>
      </c>
      <c r="Y34">
        <f t="shared" si="10"/>
        <v>0</v>
      </c>
      <c r="Z34">
        <f t="shared" si="11"/>
        <v>0</v>
      </c>
      <c r="AA34">
        <f>IF(F34&gt;0,(RANK(M34,$H34:N34)),0)</f>
        <v>0</v>
      </c>
      <c r="AB34">
        <f t="shared" si="12"/>
        <v>0</v>
      </c>
    </row>
    <row r="36" spans="1:39" x14ac:dyDescent="0.2">
      <c r="AD36" t="s">
        <v>153</v>
      </c>
      <c r="AE36">
        <f>COUNTIF(O$1:O$34,1)</f>
        <v>34</v>
      </c>
      <c r="AF36">
        <f t="shared" ref="AF36:AK36" si="13">COUNTIF(P1:P34,1)</f>
        <v>34</v>
      </c>
      <c r="AG36">
        <f t="shared" si="13"/>
        <v>34</v>
      </c>
      <c r="AH36">
        <f t="shared" si="13"/>
        <v>34</v>
      </c>
      <c r="AI36">
        <f t="shared" si="13"/>
        <v>34</v>
      </c>
      <c r="AJ36">
        <f t="shared" si="13"/>
        <v>34</v>
      </c>
      <c r="AK36">
        <f t="shared" si="13"/>
        <v>34</v>
      </c>
      <c r="AL36" t="e">
        <f>COUNTIF(#REF!,1)</f>
        <v>#REF!</v>
      </c>
      <c r="AM36" t="e">
        <f>COUNTIF(#REF!,1)</f>
        <v>#REF!</v>
      </c>
    </row>
    <row r="37" spans="1:39" x14ac:dyDescent="0.2">
      <c r="AD37" t="s">
        <v>154</v>
      </c>
      <c r="AE37">
        <f t="shared" ref="AE37:AK37" si="14">COUNTIF(O$1:O$34,2)</f>
        <v>0</v>
      </c>
      <c r="AF37">
        <f t="shared" si="14"/>
        <v>0</v>
      </c>
      <c r="AG37">
        <f t="shared" si="14"/>
        <v>0</v>
      </c>
      <c r="AH37">
        <f t="shared" si="14"/>
        <v>0</v>
      </c>
      <c r="AI37">
        <f t="shared" si="14"/>
        <v>0</v>
      </c>
      <c r="AJ37">
        <f t="shared" si="14"/>
        <v>0</v>
      </c>
      <c r="AK37">
        <f t="shared" si="14"/>
        <v>0</v>
      </c>
      <c r="AL37" t="e">
        <f>COUNTIF(#REF!,2)</f>
        <v>#REF!</v>
      </c>
      <c r="AM37" t="e">
        <f>COUNTIF(#REF!,2)</f>
        <v>#REF!</v>
      </c>
    </row>
    <row r="38" spans="1:39" x14ac:dyDescent="0.2">
      <c r="AD38" t="s">
        <v>155</v>
      </c>
      <c r="AE38">
        <f t="shared" ref="AE38:AK38" si="15">COUNTIF(O$1:O$34,3)</f>
        <v>0</v>
      </c>
      <c r="AF38">
        <f t="shared" si="15"/>
        <v>0</v>
      </c>
      <c r="AG38">
        <f t="shared" si="15"/>
        <v>0</v>
      </c>
      <c r="AH38">
        <f t="shared" si="15"/>
        <v>0</v>
      </c>
      <c r="AI38">
        <f t="shared" si="15"/>
        <v>0</v>
      </c>
      <c r="AJ38">
        <f t="shared" si="15"/>
        <v>0</v>
      </c>
      <c r="AK38">
        <f t="shared" si="15"/>
        <v>0</v>
      </c>
      <c r="AL38" t="e">
        <f>COUNTIF(#REF!,3)</f>
        <v>#REF!</v>
      </c>
      <c r="AM38" t="e">
        <f>COUNTIF(#REF!,3)</f>
        <v>#REF!</v>
      </c>
    </row>
    <row r="39" spans="1:39" x14ac:dyDescent="0.2">
      <c r="AD39" t="s">
        <v>156</v>
      </c>
      <c r="AE39">
        <f t="shared" ref="AE39:AK39" si="16">COUNTIF(O$1:O$34,4)</f>
        <v>0</v>
      </c>
      <c r="AF39">
        <f t="shared" si="16"/>
        <v>0</v>
      </c>
      <c r="AG39">
        <f t="shared" si="16"/>
        <v>0</v>
      </c>
      <c r="AH39">
        <f t="shared" si="16"/>
        <v>0</v>
      </c>
      <c r="AI39">
        <f t="shared" si="16"/>
        <v>0</v>
      </c>
      <c r="AJ39">
        <f t="shared" si="16"/>
        <v>0</v>
      </c>
      <c r="AK39">
        <f t="shared" si="16"/>
        <v>0</v>
      </c>
      <c r="AL39" t="e">
        <f>COUNTIF(#REF!,4)</f>
        <v>#REF!</v>
      </c>
      <c r="AM39" t="e">
        <f>COUNTIF(#REF!,4)</f>
        <v>#REF!</v>
      </c>
    </row>
    <row r="40" spans="1:39" x14ac:dyDescent="0.2">
      <c r="AD40" t="s">
        <v>157</v>
      </c>
      <c r="AE40">
        <f t="shared" ref="AE40:AK40" si="17">COUNTIF(O$1:O$34,5)</f>
        <v>0</v>
      </c>
      <c r="AF40">
        <f t="shared" si="17"/>
        <v>0</v>
      </c>
      <c r="AG40">
        <f t="shared" si="17"/>
        <v>0</v>
      </c>
      <c r="AH40">
        <f t="shared" si="17"/>
        <v>0</v>
      </c>
      <c r="AI40">
        <f t="shared" si="17"/>
        <v>0</v>
      </c>
      <c r="AJ40">
        <f t="shared" si="17"/>
        <v>0</v>
      </c>
      <c r="AK40">
        <f t="shared" si="17"/>
        <v>0</v>
      </c>
      <c r="AL40" t="e">
        <f>COUNTIF(#REF!,5)</f>
        <v>#REF!</v>
      </c>
      <c r="AM40" t="e">
        <f>COUNTIF(#REF!,5)</f>
        <v>#REF!</v>
      </c>
    </row>
    <row r="41" spans="1:39" x14ac:dyDescent="0.2">
      <c r="AD41" t="s">
        <v>158</v>
      </c>
      <c r="AE41">
        <f t="shared" ref="AE41:AK41" si="18">COUNTIF(O$1:O$34,6)</f>
        <v>0</v>
      </c>
      <c r="AF41">
        <f t="shared" si="18"/>
        <v>0</v>
      </c>
      <c r="AG41">
        <f t="shared" si="18"/>
        <v>0</v>
      </c>
      <c r="AH41">
        <f t="shared" si="18"/>
        <v>0</v>
      </c>
      <c r="AI41">
        <f t="shared" si="18"/>
        <v>0</v>
      </c>
      <c r="AJ41">
        <f t="shared" si="18"/>
        <v>0</v>
      </c>
      <c r="AK41">
        <f t="shared" si="18"/>
        <v>0</v>
      </c>
      <c r="AL41" t="e">
        <f>COUNTIF(#REF!,6)</f>
        <v>#REF!</v>
      </c>
      <c r="AM41" t="e">
        <f>COUNTIF(#REF!,6)</f>
        <v>#REF!</v>
      </c>
    </row>
    <row r="42" spans="1:39" x14ac:dyDescent="0.2">
      <c r="AD42" t="s">
        <v>159</v>
      </c>
      <c r="AE42">
        <f t="shared" ref="AE42:AK42" si="19">COUNTIF(O$1:O$34,7)</f>
        <v>0</v>
      </c>
      <c r="AF42">
        <f t="shared" si="19"/>
        <v>0</v>
      </c>
      <c r="AG42">
        <f t="shared" si="19"/>
        <v>0</v>
      </c>
      <c r="AH42">
        <f t="shared" si="19"/>
        <v>0</v>
      </c>
      <c r="AI42">
        <f t="shared" si="19"/>
        <v>0</v>
      </c>
      <c r="AJ42">
        <f t="shared" si="19"/>
        <v>0</v>
      </c>
      <c r="AK42">
        <f t="shared" si="19"/>
        <v>0</v>
      </c>
      <c r="AL42" t="e">
        <f>COUNTIF(#REF!,7)</f>
        <v>#REF!</v>
      </c>
      <c r="AM42" t="e">
        <f>COUNTIF(#REF!,7)</f>
        <v>#REF!</v>
      </c>
    </row>
    <row r="43" spans="1:39" x14ac:dyDescent="0.2">
      <c r="AD43" t="s">
        <v>160</v>
      </c>
      <c r="AE43">
        <f t="shared" ref="AE43:AK43" si="20">COUNTIF(O$1:O$34,8)</f>
        <v>0</v>
      </c>
      <c r="AF43">
        <f t="shared" si="20"/>
        <v>0</v>
      </c>
      <c r="AG43">
        <f t="shared" si="20"/>
        <v>0</v>
      </c>
      <c r="AH43">
        <f t="shared" si="20"/>
        <v>0</v>
      </c>
      <c r="AI43">
        <f t="shared" si="20"/>
        <v>0</v>
      </c>
      <c r="AJ43">
        <f t="shared" si="20"/>
        <v>0</v>
      </c>
      <c r="AK43">
        <f t="shared" si="20"/>
        <v>0</v>
      </c>
      <c r="AL43" t="e">
        <f>COUNTIF(#REF!,8)</f>
        <v>#REF!</v>
      </c>
      <c r="AM43" t="e">
        <f>COUNTIF(#REF!,8)</f>
        <v>#REF!</v>
      </c>
    </row>
    <row r="44" spans="1:39" x14ac:dyDescent="0.2">
      <c r="AD44" s="5" t="s">
        <v>161</v>
      </c>
      <c r="AE44">
        <f t="shared" ref="AE44:AK44" si="21">COUNTIF(O$1:O$34,9)</f>
        <v>0</v>
      </c>
      <c r="AF44">
        <f t="shared" si="21"/>
        <v>0</v>
      </c>
      <c r="AG44">
        <f t="shared" si="21"/>
        <v>0</v>
      </c>
      <c r="AH44">
        <f t="shared" si="21"/>
        <v>0</v>
      </c>
      <c r="AI44">
        <f t="shared" si="21"/>
        <v>0</v>
      </c>
      <c r="AJ44">
        <f t="shared" si="21"/>
        <v>0</v>
      </c>
      <c r="AK44">
        <f t="shared" si="21"/>
        <v>0</v>
      </c>
      <c r="AL44" t="e">
        <f>COUNTIF(#REF!,9)</f>
        <v>#REF!</v>
      </c>
      <c r="AM44" t="e">
        <f>COUNTIF(#REF!,9)</f>
        <v>#REF!</v>
      </c>
    </row>
  </sheetData>
  <pageMargins left="0.78749999999999998" right="0.78749999999999998" top="0.98402777777777795" bottom="0.98402777777777795" header="0.511811023622047" footer="0.511811023622047"/>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AMJ45"/>
  <sheetViews>
    <sheetView zoomScaleNormal="100" workbookViewId="0"/>
  </sheetViews>
  <sheetFormatPr baseColWidth="10" defaultColWidth="11.42578125" defaultRowHeight="12.75" x14ac:dyDescent="0.2"/>
  <cols>
    <col min="1" max="1" width="5.85546875" style="105" customWidth="1"/>
    <col min="2" max="26" width="5.28515625" style="5" customWidth="1"/>
    <col min="27" max="1024" width="11.42578125" style="5"/>
  </cols>
  <sheetData>
    <row r="1" spans="1:26" s="102" customFormat="1" ht="24.75" customHeight="1" x14ac:dyDescent="0.3">
      <c r="A1" s="106"/>
      <c r="B1" s="102" t="str">
        <f>Spieltage!$I$1</f>
        <v>Kropp</v>
      </c>
      <c r="K1" s="103" t="s">
        <v>202</v>
      </c>
      <c r="L1" s="102" t="str">
        <f>Mannschaften!$G$36</f>
        <v>2025/26</v>
      </c>
    </row>
    <row r="2" spans="1:26" s="105" customFormat="1" ht="53.25" x14ac:dyDescent="0.2">
      <c r="A2" s="107"/>
      <c r="B2" s="108" t="str">
        <f>Mannschaften!C1</f>
        <v>Bayern</v>
      </c>
      <c r="C2" s="108" t="str">
        <f>Mannschaften!C2</f>
        <v>Leipzig</v>
      </c>
      <c r="D2" s="108" t="str">
        <f>Mannschaften!C3</f>
        <v>Leverk.</v>
      </c>
      <c r="E2" s="108" t="str">
        <f>Mannschaften!C4</f>
        <v>Hoffenheim</v>
      </c>
      <c r="F2" s="108" t="str">
        <f>Mannschaften!C5</f>
        <v>Frankfurt</v>
      </c>
      <c r="G2" s="108" t="str">
        <f>Mannschaften!C6</f>
        <v>Werder</v>
      </c>
      <c r="H2" s="108" t="str">
        <f>Mannschaften!C7</f>
        <v>Freiburg</v>
      </c>
      <c r="I2" s="108" t="str">
        <f>Mannschaften!C8</f>
        <v>Augsburg</v>
      </c>
      <c r="J2" s="108" t="str">
        <f>Mannschaften!C9</f>
        <v>Mainz</v>
      </c>
      <c r="K2" s="108" t="str">
        <f>Mannschaften!C10</f>
        <v>Köln</v>
      </c>
      <c r="L2" s="108" t="str">
        <f>Mannschaften!C11</f>
        <v>M'gladb.</v>
      </c>
      <c r="M2" s="108" t="str">
        <f>Mannschaften!C12</f>
        <v>HSV</v>
      </c>
      <c r="N2" s="108" t="str">
        <f>Mannschaften!C13</f>
        <v>Union</v>
      </c>
      <c r="O2" s="108" t="str">
        <f>Mannschaften!C14</f>
        <v>Stuttgart</v>
      </c>
      <c r="P2" s="108" t="str">
        <f>Mannschaften!C15</f>
        <v>St. Pauli</v>
      </c>
      <c r="Q2" s="108" t="str">
        <f>Mannschaften!C16</f>
        <v>Dortmund</v>
      </c>
      <c r="R2" s="108" t="str">
        <f>Mannschaften!C17</f>
        <v>Heidenheim</v>
      </c>
      <c r="S2" s="108" t="str">
        <f>Mannschaften!C18</f>
        <v>Wolfsburg</v>
      </c>
      <c r="T2" s="109" t="s">
        <v>198</v>
      </c>
      <c r="U2" s="109" t="s">
        <v>203</v>
      </c>
      <c r="V2" s="109" t="s">
        <v>8</v>
      </c>
      <c r="W2" s="109" t="s">
        <v>196</v>
      </c>
      <c r="X2" s="109" t="s">
        <v>204</v>
      </c>
      <c r="Y2" s="109" t="s">
        <v>197</v>
      </c>
      <c r="Z2" s="109" t="s">
        <v>205</v>
      </c>
    </row>
    <row r="3" spans="1:26" x14ac:dyDescent="0.2">
      <c r="A3" s="110" t="s">
        <v>162</v>
      </c>
      <c r="B3" s="111" t="str">
        <f ca="1">INDIRECT("Spieltage!$J"&amp;Spieltage!$BF3)</f>
        <v/>
      </c>
      <c r="C3" s="111" t="str">
        <f ca="1">INDIRECT("Spieltage!$J"&amp;Spieltage!$BI3)</f>
        <v/>
      </c>
      <c r="D3" s="111" t="str">
        <f ca="1">INDIRECT("Spieltage!$J"&amp;Spieltage!$BL3)</f>
        <v/>
      </c>
      <c r="E3" s="111" t="str">
        <f ca="1">INDIRECT("Spieltage!$J"&amp;Spieltage!$BO3)</f>
        <v/>
      </c>
      <c r="F3" s="111" t="str">
        <f ca="1">INDIRECT("Spieltage!$J"&amp;Spieltage!$BR3)</f>
        <v/>
      </c>
      <c r="G3" s="111" t="str">
        <f ca="1">INDIRECT("Spieltage!$J"&amp;Spieltage!$BU3)</f>
        <v/>
      </c>
      <c r="H3" s="111" t="str">
        <f ca="1">INDIRECT("Spieltage!$J"&amp;Spieltage!$BX3)</f>
        <v/>
      </c>
      <c r="I3" s="111" t="str">
        <f ca="1">INDIRECT("Spieltage!$J"&amp;Spieltage!$CA3)</f>
        <v/>
      </c>
      <c r="J3" s="111" t="str">
        <f ca="1">INDIRECT("Spieltage!$J"&amp;Spieltage!$CD3)</f>
        <v/>
      </c>
      <c r="K3" s="111" t="str">
        <f ca="1">INDIRECT("Spieltage!$J"&amp;Spieltage!$CG3)</f>
        <v/>
      </c>
      <c r="L3" s="111" t="str">
        <f ca="1">INDIRECT("Spieltage!$J"&amp;Spieltage!$CJ3)</f>
        <v/>
      </c>
      <c r="M3" s="111" t="str">
        <f ca="1">INDIRECT("Spieltage!$J"&amp;Spieltage!$CM3)</f>
        <v/>
      </c>
      <c r="N3" s="111" t="str">
        <f ca="1">INDIRECT("Spieltage!$J"&amp;Spieltage!$CP3)</f>
        <v/>
      </c>
      <c r="O3" s="111" t="str">
        <f ca="1">INDIRECT("Spieltage!$J"&amp;Spieltage!$CS3)</f>
        <v/>
      </c>
      <c r="P3" s="111" t="str">
        <f ca="1">INDIRECT("Spieltage!$J"&amp;Spieltage!$CV3)</f>
        <v/>
      </c>
      <c r="Q3" s="111" t="str">
        <f ca="1">INDIRECT("Spieltage!$J"&amp;Spieltage!$CY3)</f>
        <v/>
      </c>
      <c r="R3" s="111" t="str">
        <f ca="1">INDIRECT("Spieltage!$J"&amp;Spieltage!$DB3)</f>
        <v/>
      </c>
      <c r="S3" s="111" t="str">
        <f ca="1">INDIRECT("Spieltage!$J"&amp;Spieltage!$DE3)</f>
        <v/>
      </c>
      <c r="T3" s="112">
        <f t="shared" ref="T3:T36" ca="1" si="0">(COUNTIF(B3:S3,"&gt;=1"))/2</f>
        <v>0</v>
      </c>
      <c r="U3" s="113">
        <f t="shared" ref="U3:U36" ca="1" si="1">(SUM(B3:S3))/2</f>
        <v>0</v>
      </c>
      <c r="V3" s="114">
        <f t="shared" ref="V3:V36" ca="1" si="2">T3*U3</f>
        <v>0</v>
      </c>
      <c r="W3" s="115">
        <f>Spieltage!I2</f>
        <v>1</v>
      </c>
      <c r="X3" s="116">
        <v>8</v>
      </c>
      <c r="Y3" s="116">
        <f ca="1">(COUNTIF(B3:S36,8))/2</f>
        <v>0</v>
      </c>
      <c r="Z3" s="114">
        <f t="shared" ref="Z3:Z10" ca="1" si="3">X3*Y3</f>
        <v>0</v>
      </c>
    </row>
    <row r="4" spans="1:26" x14ac:dyDescent="0.2">
      <c r="A4" s="110" t="s">
        <v>163</v>
      </c>
      <c r="B4" s="111" t="str">
        <f ca="1">INDIRECT("Spieltage!$J"&amp;Spieltage!$BF18)</f>
        <v/>
      </c>
      <c r="C4" s="111" t="str">
        <f ca="1">INDIRECT("Spieltage!$J"&amp;Spieltage!$BI18)</f>
        <v/>
      </c>
      <c r="D4" s="111" t="str">
        <f ca="1">INDIRECT("Spieltage!$J"&amp;Spieltage!$BL18)</f>
        <v/>
      </c>
      <c r="E4" s="111" t="str">
        <f ca="1">INDIRECT("Spieltage!$J"&amp;Spieltage!$BO18)</f>
        <v/>
      </c>
      <c r="F4" s="111" t="str">
        <f ca="1">INDIRECT("Spieltage!$J"&amp;Spieltage!$BR18)</f>
        <v/>
      </c>
      <c r="G4" s="111" t="str">
        <f ca="1">INDIRECT("Spieltage!$J"&amp;Spieltage!$BU18)</f>
        <v/>
      </c>
      <c r="H4" s="111" t="str">
        <f ca="1">INDIRECT("Spieltage!$J"&amp;Spieltage!$BX18)</f>
        <v/>
      </c>
      <c r="I4" s="111" t="str">
        <f ca="1">INDIRECT("Spieltage!$J"&amp;Spieltage!$CA18)</f>
        <v/>
      </c>
      <c r="J4" s="111" t="str">
        <f ca="1">INDIRECT("Spieltage!$J"&amp;Spieltage!$CD18)</f>
        <v/>
      </c>
      <c r="K4" s="111" t="str">
        <f ca="1">INDIRECT("Spieltage!$J"&amp;Spieltage!$CG18)</f>
        <v/>
      </c>
      <c r="L4" s="111" t="str">
        <f ca="1">INDIRECT("Spieltage!$J"&amp;Spieltage!$CJ18)</f>
        <v/>
      </c>
      <c r="M4" s="111" t="str">
        <f ca="1">INDIRECT("Spieltage!$J"&amp;Spieltage!$CM18)</f>
        <v/>
      </c>
      <c r="N4" s="111" t="str">
        <f ca="1">INDIRECT("Spieltage!$J"&amp;Spieltage!$CP18)</f>
        <v/>
      </c>
      <c r="O4" s="111" t="str">
        <f ca="1">INDIRECT("Spieltage!$J"&amp;Spieltage!$CS18)</f>
        <v/>
      </c>
      <c r="P4" s="111" t="str">
        <f ca="1">INDIRECT("Spieltage!$J"&amp;Spieltage!$CV18)</f>
        <v/>
      </c>
      <c r="Q4" s="111" t="str">
        <f ca="1">INDIRECT("Spieltage!$J"&amp;Spieltage!$CY18)</f>
        <v/>
      </c>
      <c r="R4" s="111" t="str">
        <f ca="1">INDIRECT("Spieltage!$J"&amp;Spieltage!$DB18)</f>
        <v/>
      </c>
      <c r="S4" s="111" t="str">
        <f ca="1">INDIRECT("Spieltage!$J"&amp;Spieltage!$DE18)</f>
        <v/>
      </c>
      <c r="T4" s="112">
        <f t="shared" ca="1" si="0"/>
        <v>0</v>
      </c>
      <c r="U4" s="113">
        <f t="shared" ca="1" si="1"/>
        <v>0</v>
      </c>
      <c r="V4" s="114">
        <f t="shared" ca="1" si="2"/>
        <v>0</v>
      </c>
      <c r="W4" s="115">
        <f>Spieltage!I17</f>
        <v>1</v>
      </c>
      <c r="X4" s="116">
        <v>7</v>
      </c>
      <c r="Y4" s="116">
        <f ca="1">(COUNTIF(B3:S36,7))/2</f>
        <v>0</v>
      </c>
      <c r="Z4" s="114">
        <f t="shared" ca="1" si="3"/>
        <v>0</v>
      </c>
    </row>
    <row r="5" spans="1:26" x14ac:dyDescent="0.2">
      <c r="A5" s="110" t="s">
        <v>164</v>
      </c>
      <c r="B5" s="111" t="str">
        <f ca="1">INDIRECT("Spieltage!$J"&amp;Spieltage!$BF33)</f>
        <v/>
      </c>
      <c r="C5" s="111" t="str">
        <f ca="1">INDIRECT("Spieltage!$J"&amp;Spieltage!$BI33)</f>
        <v/>
      </c>
      <c r="D5" s="111" t="str">
        <f ca="1">INDIRECT("Spieltage!$J"&amp;Spieltage!$BL33)</f>
        <v/>
      </c>
      <c r="E5" s="111" t="str">
        <f ca="1">INDIRECT("Spieltage!$J"&amp;Spieltage!$BO33)</f>
        <v/>
      </c>
      <c r="F5" s="111" t="str">
        <f ca="1">INDIRECT("Spieltage!$J"&amp;Spieltage!$BR33)</f>
        <v/>
      </c>
      <c r="G5" s="111" t="str">
        <f ca="1">INDIRECT("Spieltage!$J"&amp;Spieltage!$BU33)</f>
        <v/>
      </c>
      <c r="H5" s="111" t="str">
        <f ca="1">INDIRECT("Spieltage!$J"&amp;Spieltage!$BX33)</f>
        <v/>
      </c>
      <c r="I5" s="111" t="str">
        <f ca="1">INDIRECT("Spieltage!$J"&amp;Spieltage!$CA33)</f>
        <v/>
      </c>
      <c r="J5" s="111" t="str">
        <f ca="1">INDIRECT("Spieltage!$J"&amp;Spieltage!$CD33)</f>
        <v/>
      </c>
      <c r="K5" s="111" t="str">
        <f ca="1">INDIRECT("Spieltage!$J"&amp;Spieltage!$CG33)</f>
        <v/>
      </c>
      <c r="L5" s="111" t="str">
        <f ca="1">INDIRECT("Spieltage!$J"&amp;Spieltage!$CJ33)</f>
        <v/>
      </c>
      <c r="M5" s="111" t="str">
        <f ca="1">INDIRECT("Spieltage!$J"&amp;Spieltage!$CM33)</f>
        <v/>
      </c>
      <c r="N5" s="111" t="str">
        <f ca="1">INDIRECT("Spieltage!$J"&amp;Spieltage!$CP33)</f>
        <v/>
      </c>
      <c r="O5" s="111" t="str">
        <f ca="1">INDIRECT("Spieltage!$J"&amp;Spieltage!$CS33)</f>
        <v/>
      </c>
      <c r="P5" s="111" t="str">
        <f ca="1">INDIRECT("Spieltage!$J"&amp;Spieltage!$CV33)</f>
        <v/>
      </c>
      <c r="Q5" s="111" t="str">
        <f ca="1">INDIRECT("Spieltage!$J"&amp;Spieltage!$CY33)</f>
        <v/>
      </c>
      <c r="R5" s="111" t="str">
        <f ca="1">INDIRECT("Spieltage!$J"&amp;Spieltage!$DB33)</f>
        <v/>
      </c>
      <c r="S5" s="111" t="str">
        <f ca="1">INDIRECT("Spieltage!$J"&amp;Spieltage!$DE33)</f>
        <v/>
      </c>
      <c r="T5" s="112">
        <f t="shared" ca="1" si="0"/>
        <v>0</v>
      </c>
      <c r="U5" s="113">
        <f t="shared" ca="1" si="1"/>
        <v>0</v>
      </c>
      <c r="V5" s="114">
        <f t="shared" ca="1" si="2"/>
        <v>0</v>
      </c>
      <c r="W5" s="115">
        <f>Spieltage!I32</f>
        <v>1</v>
      </c>
      <c r="X5" s="116">
        <v>6</v>
      </c>
      <c r="Y5" s="116">
        <f ca="1">(COUNTIF(B3:S36,6))/2</f>
        <v>0</v>
      </c>
      <c r="Z5" s="114">
        <f t="shared" ca="1" si="3"/>
        <v>0</v>
      </c>
    </row>
    <row r="6" spans="1:26" x14ac:dyDescent="0.2">
      <c r="A6" s="110" t="s">
        <v>165</v>
      </c>
      <c r="B6" s="111" t="str">
        <f ca="1">INDIRECT("Spieltage!$J"&amp;Spieltage!$BF48)</f>
        <v/>
      </c>
      <c r="C6" s="111" t="str">
        <f ca="1">INDIRECT("Spieltage!$J"&amp;Spieltage!$BI48)</f>
        <v/>
      </c>
      <c r="D6" s="111" t="str">
        <f ca="1">INDIRECT("Spieltage!$J"&amp;Spieltage!$BL48)</f>
        <v/>
      </c>
      <c r="E6" s="111" t="str">
        <f ca="1">INDIRECT("Spieltage!$J"&amp;Spieltage!$BO48)</f>
        <v/>
      </c>
      <c r="F6" s="111" t="str">
        <f ca="1">INDIRECT("Spieltage!$J"&amp;Spieltage!$BR48)</f>
        <v/>
      </c>
      <c r="G6" s="111" t="str">
        <f ca="1">INDIRECT("Spieltage!$J"&amp;Spieltage!$BU48)</f>
        <v/>
      </c>
      <c r="H6" s="111" t="str">
        <f ca="1">INDIRECT("Spieltage!$J"&amp;Spieltage!$BX48)</f>
        <v/>
      </c>
      <c r="I6" s="111" t="str">
        <f ca="1">INDIRECT("Spieltage!$J"&amp;Spieltage!$CA48)</f>
        <v/>
      </c>
      <c r="J6" s="111" t="str">
        <f ca="1">INDIRECT("Spieltage!$J"&amp;Spieltage!$CD48)</f>
        <v/>
      </c>
      <c r="K6" s="111" t="str">
        <f ca="1">INDIRECT("Spieltage!$J"&amp;Spieltage!$CG48)</f>
        <v/>
      </c>
      <c r="L6" s="111" t="str">
        <f ca="1">INDIRECT("Spieltage!$J"&amp;Spieltage!$CJ48)</f>
        <v/>
      </c>
      <c r="M6" s="111" t="str">
        <f ca="1">INDIRECT("Spieltage!$J"&amp;Spieltage!$CM48)</f>
        <v/>
      </c>
      <c r="N6" s="111" t="str">
        <f ca="1">INDIRECT("Spieltage!$J"&amp;Spieltage!$CP48)</f>
        <v/>
      </c>
      <c r="O6" s="111" t="str">
        <f ca="1">INDIRECT("Spieltage!$J"&amp;Spieltage!$CS48)</f>
        <v/>
      </c>
      <c r="P6" s="111" t="str">
        <f ca="1">INDIRECT("Spieltage!$J"&amp;Spieltage!$CV48)</f>
        <v/>
      </c>
      <c r="Q6" s="111" t="str">
        <f ca="1">INDIRECT("Spieltage!$J"&amp;Spieltage!$CY48)</f>
        <v/>
      </c>
      <c r="R6" s="111" t="str">
        <f ca="1">INDIRECT("Spieltage!$J"&amp;Spieltage!$DB48)</f>
        <v/>
      </c>
      <c r="S6" s="111" t="str">
        <f ca="1">INDIRECT("Spieltage!$J"&amp;Spieltage!$DE48)</f>
        <v/>
      </c>
      <c r="T6" s="112">
        <f t="shared" ca="1" si="0"/>
        <v>0</v>
      </c>
      <c r="U6" s="113">
        <f t="shared" ca="1" si="1"/>
        <v>0</v>
      </c>
      <c r="V6" s="114">
        <f t="shared" ca="1" si="2"/>
        <v>0</v>
      </c>
      <c r="W6" s="115">
        <f>Spieltage!I47</f>
        <v>1</v>
      </c>
      <c r="X6" s="116">
        <v>5</v>
      </c>
      <c r="Y6" s="116">
        <f ca="1">(COUNTIF(B3:S36,5))/2</f>
        <v>0</v>
      </c>
      <c r="Z6" s="114">
        <f t="shared" ca="1" si="3"/>
        <v>0</v>
      </c>
    </row>
    <row r="7" spans="1:26" x14ac:dyDescent="0.2">
      <c r="A7" s="110" t="s">
        <v>166</v>
      </c>
      <c r="B7" s="111" t="str">
        <f ca="1">INDIRECT("Spieltage!$J"&amp;Spieltage!$BF63)</f>
        <v/>
      </c>
      <c r="C7" s="111" t="str">
        <f ca="1">INDIRECT("Spieltage!$J"&amp;Spieltage!$BI63)</f>
        <v/>
      </c>
      <c r="D7" s="111" t="str">
        <f ca="1">INDIRECT("Spieltage!$J"&amp;Spieltage!$BL63)</f>
        <v/>
      </c>
      <c r="E7" s="111" t="str">
        <f ca="1">INDIRECT("Spieltage!$J"&amp;Spieltage!$BO63)</f>
        <v/>
      </c>
      <c r="F7" s="111" t="str">
        <f ca="1">INDIRECT("Spieltage!$J"&amp;Spieltage!$BR63)</f>
        <v/>
      </c>
      <c r="G7" s="111" t="str">
        <f ca="1">INDIRECT("Spieltage!$J"&amp;Spieltage!$BU63)</f>
        <v/>
      </c>
      <c r="H7" s="111" t="str">
        <f ca="1">INDIRECT("Spieltage!$J"&amp;Spieltage!$BX63)</f>
        <v/>
      </c>
      <c r="I7" s="111" t="str">
        <f ca="1">INDIRECT("Spieltage!$J"&amp;Spieltage!$CA63)</f>
        <v/>
      </c>
      <c r="J7" s="111" t="str">
        <f ca="1">INDIRECT("Spieltage!$J"&amp;Spieltage!$CD63)</f>
        <v/>
      </c>
      <c r="K7" s="111" t="str">
        <f ca="1">INDIRECT("Spieltage!$J"&amp;Spieltage!$CG63)</f>
        <v/>
      </c>
      <c r="L7" s="111" t="str">
        <f ca="1">INDIRECT("Spieltage!$J"&amp;Spieltage!$CJ63)</f>
        <v/>
      </c>
      <c r="M7" s="111" t="str">
        <f ca="1">INDIRECT("Spieltage!$J"&amp;Spieltage!$CM63)</f>
        <v/>
      </c>
      <c r="N7" s="111" t="str">
        <f ca="1">INDIRECT("Spieltage!$J"&amp;Spieltage!$CP63)</f>
        <v/>
      </c>
      <c r="O7" s="111" t="str">
        <f ca="1">INDIRECT("Spieltage!$J"&amp;Spieltage!$CS63)</f>
        <v/>
      </c>
      <c r="P7" s="111" t="str">
        <f ca="1">INDIRECT("Spieltage!$J"&amp;Spieltage!$CV63)</f>
        <v/>
      </c>
      <c r="Q7" s="111" t="str">
        <f ca="1">INDIRECT("Spieltage!$J"&amp;Spieltage!$CY63)</f>
        <v/>
      </c>
      <c r="R7" s="111" t="str">
        <f ca="1">INDIRECT("Spieltage!$J"&amp;Spieltage!$DB63)</f>
        <v/>
      </c>
      <c r="S7" s="111" t="str">
        <f ca="1">INDIRECT("Spieltage!$J"&amp;Spieltage!$DE63)</f>
        <v/>
      </c>
      <c r="T7" s="112">
        <f t="shared" ca="1" si="0"/>
        <v>0</v>
      </c>
      <c r="U7" s="113">
        <f t="shared" ca="1" si="1"/>
        <v>0</v>
      </c>
      <c r="V7" s="114">
        <f t="shared" ca="1" si="2"/>
        <v>0</v>
      </c>
      <c r="W7" s="115">
        <f>Spieltage!I62</f>
        <v>1</v>
      </c>
      <c r="X7" s="116">
        <v>4</v>
      </c>
      <c r="Y7" s="116">
        <f ca="1">(COUNTIF(B3:S36,4))/2</f>
        <v>0</v>
      </c>
      <c r="Z7" s="114">
        <f t="shared" ca="1" si="3"/>
        <v>0</v>
      </c>
    </row>
    <row r="8" spans="1:26" x14ac:dyDescent="0.2">
      <c r="A8" s="110" t="s">
        <v>167</v>
      </c>
      <c r="B8" s="111" t="str">
        <f ca="1">INDIRECT("Spieltage!$J"&amp;Spieltage!$BF78)</f>
        <v/>
      </c>
      <c r="C8" s="111" t="str">
        <f ca="1">INDIRECT("Spieltage!$J"&amp;Spieltage!$BI78)</f>
        <v/>
      </c>
      <c r="D8" s="111" t="str">
        <f ca="1">INDIRECT("Spieltage!$J"&amp;Spieltage!$BL78)</f>
        <v/>
      </c>
      <c r="E8" s="111" t="str">
        <f ca="1">INDIRECT("Spieltage!$J"&amp;Spieltage!$BO78)</f>
        <v/>
      </c>
      <c r="F8" s="111" t="str">
        <f ca="1">INDIRECT("Spieltage!$J"&amp;Spieltage!$BR78)</f>
        <v/>
      </c>
      <c r="G8" s="111" t="str">
        <f ca="1">INDIRECT("Spieltage!$J"&amp;Spieltage!$BU78)</f>
        <v/>
      </c>
      <c r="H8" s="111" t="str">
        <f ca="1">INDIRECT("Spieltage!$J"&amp;Spieltage!$BX78)</f>
        <v/>
      </c>
      <c r="I8" s="111" t="str">
        <f ca="1">INDIRECT("Spieltage!$J"&amp;Spieltage!$CA78)</f>
        <v/>
      </c>
      <c r="J8" s="111" t="str">
        <f ca="1">INDIRECT("Spieltage!$J"&amp;Spieltage!$CD78)</f>
        <v/>
      </c>
      <c r="K8" s="111" t="str">
        <f ca="1">INDIRECT("Spieltage!$J"&amp;Spieltage!$CG78)</f>
        <v/>
      </c>
      <c r="L8" s="111" t="str">
        <f ca="1">INDIRECT("Spieltage!$J"&amp;Spieltage!$CJ78)</f>
        <v/>
      </c>
      <c r="M8" s="111" t="str">
        <f ca="1">INDIRECT("Spieltage!$J"&amp;Spieltage!$CM78)</f>
        <v/>
      </c>
      <c r="N8" s="111" t="str">
        <f ca="1">INDIRECT("Spieltage!$J"&amp;Spieltage!$CP78)</f>
        <v/>
      </c>
      <c r="O8" s="111" t="str">
        <f ca="1">INDIRECT("Spieltage!$J"&amp;Spieltage!$CS78)</f>
        <v/>
      </c>
      <c r="P8" s="111" t="str">
        <f ca="1">INDIRECT("Spieltage!$J"&amp;Spieltage!$CV78)</f>
        <v/>
      </c>
      <c r="Q8" s="111" t="str">
        <f ca="1">INDIRECT("Spieltage!$J"&amp;Spieltage!$CY78)</f>
        <v/>
      </c>
      <c r="R8" s="111" t="str">
        <f ca="1">INDIRECT("Spieltage!$J"&amp;Spieltage!$DB78)</f>
        <v/>
      </c>
      <c r="S8" s="111" t="str">
        <f ca="1">INDIRECT("Spieltage!$J"&amp;Spieltage!$DE78)</f>
        <v/>
      </c>
      <c r="T8" s="112">
        <f t="shared" ca="1" si="0"/>
        <v>0</v>
      </c>
      <c r="U8" s="113">
        <f t="shared" ca="1" si="1"/>
        <v>0</v>
      </c>
      <c r="V8" s="114">
        <f t="shared" ca="1" si="2"/>
        <v>0</v>
      </c>
      <c r="W8" s="115">
        <f>Spieltage!I77</f>
        <v>1</v>
      </c>
      <c r="X8" s="116">
        <v>3</v>
      </c>
      <c r="Y8" s="116">
        <f ca="1">(COUNTIF(B3:S36,3))/2</f>
        <v>0</v>
      </c>
      <c r="Z8" s="114">
        <f t="shared" ca="1" si="3"/>
        <v>0</v>
      </c>
    </row>
    <row r="9" spans="1:26" x14ac:dyDescent="0.2">
      <c r="A9" s="110" t="s">
        <v>168</v>
      </c>
      <c r="B9" s="111" t="str">
        <f ca="1">INDIRECT("Spieltage!$J"&amp;Spieltage!$BF93)</f>
        <v/>
      </c>
      <c r="C9" s="111" t="str">
        <f ca="1">INDIRECT("Spieltage!$J"&amp;Spieltage!$BI93)</f>
        <v/>
      </c>
      <c r="D9" s="111" t="str">
        <f ca="1">INDIRECT("Spieltage!$J"&amp;Spieltage!$BL93)</f>
        <v/>
      </c>
      <c r="E9" s="111" t="str">
        <f ca="1">INDIRECT("Spieltage!$J"&amp;Spieltage!$BO93)</f>
        <v/>
      </c>
      <c r="F9" s="111" t="str">
        <f ca="1">INDIRECT("Spieltage!$J"&amp;Spieltage!$BR93)</f>
        <v/>
      </c>
      <c r="G9" s="111" t="str">
        <f ca="1">INDIRECT("Spieltage!$J"&amp;Spieltage!$BU93)</f>
        <v/>
      </c>
      <c r="H9" s="111" t="str">
        <f ca="1">INDIRECT("Spieltage!$J"&amp;Spieltage!$BX93)</f>
        <v/>
      </c>
      <c r="I9" s="111" t="str">
        <f ca="1">INDIRECT("Spieltage!$J"&amp;Spieltage!$CA93)</f>
        <v/>
      </c>
      <c r="J9" s="111" t="str">
        <f ca="1">INDIRECT("Spieltage!$J"&amp;Spieltage!$CD93)</f>
        <v/>
      </c>
      <c r="K9" s="111" t="str">
        <f ca="1">INDIRECT("Spieltage!$J"&amp;Spieltage!$CG93)</f>
        <v/>
      </c>
      <c r="L9" s="111" t="str">
        <f ca="1">INDIRECT("Spieltage!$J"&amp;Spieltage!$CJ93)</f>
        <v/>
      </c>
      <c r="M9" s="111" t="str">
        <f ca="1">INDIRECT("Spieltage!$J"&amp;Spieltage!$CM93)</f>
        <v/>
      </c>
      <c r="N9" s="111" t="str">
        <f ca="1">INDIRECT("Spieltage!$J"&amp;Spieltage!$CP93)</f>
        <v/>
      </c>
      <c r="O9" s="111" t="str">
        <f ca="1">INDIRECT("Spieltage!$J"&amp;Spieltage!$CS93)</f>
        <v/>
      </c>
      <c r="P9" s="111" t="str">
        <f ca="1">INDIRECT("Spieltage!$J"&amp;Spieltage!$CV93)</f>
        <v/>
      </c>
      <c r="Q9" s="111" t="str">
        <f ca="1">INDIRECT("Spieltage!$J"&amp;Spieltage!$CY93)</f>
        <v/>
      </c>
      <c r="R9" s="111" t="str">
        <f ca="1">INDIRECT("Spieltage!$J"&amp;Spieltage!$DB93)</f>
        <v/>
      </c>
      <c r="S9" s="111" t="str">
        <f ca="1">INDIRECT("Spieltage!$J"&amp;Spieltage!$DE93)</f>
        <v/>
      </c>
      <c r="T9" s="112">
        <f t="shared" ca="1" si="0"/>
        <v>0</v>
      </c>
      <c r="U9" s="113">
        <f t="shared" ca="1" si="1"/>
        <v>0</v>
      </c>
      <c r="V9" s="114">
        <f t="shared" ca="1" si="2"/>
        <v>0</v>
      </c>
      <c r="W9" s="115">
        <f>Spieltage!I92</f>
        <v>1</v>
      </c>
      <c r="X9" s="116">
        <v>2</v>
      </c>
      <c r="Y9" s="116">
        <f ca="1">(COUNTIF(B3:S36,2))/2</f>
        <v>0</v>
      </c>
      <c r="Z9" s="114">
        <f t="shared" ca="1" si="3"/>
        <v>0</v>
      </c>
    </row>
    <row r="10" spans="1:26" x14ac:dyDescent="0.2">
      <c r="A10" s="110" t="s">
        <v>169</v>
      </c>
      <c r="B10" s="111" t="str">
        <f ca="1">INDIRECT("Spieltage!$J"&amp;Spieltage!$BF108)</f>
        <v/>
      </c>
      <c r="C10" s="111" t="str">
        <f ca="1">INDIRECT("Spieltage!$J"&amp;Spieltage!$BI108)</f>
        <v/>
      </c>
      <c r="D10" s="111" t="str">
        <f ca="1">INDIRECT("Spieltage!$J"&amp;Spieltage!$BL108)</f>
        <v/>
      </c>
      <c r="E10" s="111" t="str">
        <f ca="1">INDIRECT("Spieltage!$J"&amp;Spieltage!$BO108)</f>
        <v/>
      </c>
      <c r="F10" s="111" t="str">
        <f ca="1">INDIRECT("Spieltage!$J"&amp;Spieltage!$BR108)</f>
        <v/>
      </c>
      <c r="G10" s="111" t="str">
        <f ca="1">INDIRECT("Spieltage!$J"&amp;Spieltage!$BU108)</f>
        <v/>
      </c>
      <c r="H10" s="111" t="str">
        <f ca="1">INDIRECT("Spieltage!$J"&amp;Spieltage!$BX108)</f>
        <v/>
      </c>
      <c r="I10" s="111" t="str">
        <f ca="1">INDIRECT("Spieltage!$J"&amp;Spieltage!$CA108)</f>
        <v/>
      </c>
      <c r="J10" s="111" t="str">
        <f ca="1">INDIRECT("Spieltage!$J"&amp;Spieltage!$CD108)</f>
        <v/>
      </c>
      <c r="K10" s="111" t="str">
        <f ca="1">INDIRECT("Spieltage!$J"&amp;Spieltage!$CG108)</f>
        <v/>
      </c>
      <c r="L10" s="111" t="str">
        <f ca="1">INDIRECT("Spieltage!$J"&amp;Spieltage!$CJ108)</f>
        <v/>
      </c>
      <c r="M10" s="111" t="str">
        <f ca="1">INDIRECT("Spieltage!$J"&amp;Spieltage!$CM108)</f>
        <v/>
      </c>
      <c r="N10" s="111" t="str">
        <f ca="1">INDIRECT("Spieltage!$J"&amp;Spieltage!$CP108)</f>
        <v/>
      </c>
      <c r="O10" s="111" t="str">
        <f ca="1">INDIRECT("Spieltage!$J"&amp;Spieltage!$CS108)</f>
        <v/>
      </c>
      <c r="P10" s="111" t="str">
        <f ca="1">INDIRECT("Spieltage!$J"&amp;Spieltage!$CV108)</f>
        <v/>
      </c>
      <c r="Q10" s="111" t="str">
        <f ca="1">INDIRECT("Spieltage!$J"&amp;Spieltage!$CY108)</f>
        <v/>
      </c>
      <c r="R10" s="111" t="str">
        <f ca="1">INDIRECT("Spieltage!$J"&amp;Spieltage!$DB108)</f>
        <v/>
      </c>
      <c r="S10" s="111" t="str">
        <f ca="1">INDIRECT("Spieltage!$J"&amp;Spieltage!$DE108)</f>
        <v/>
      </c>
      <c r="T10" s="112">
        <f t="shared" ca="1" si="0"/>
        <v>0</v>
      </c>
      <c r="U10" s="113">
        <f t="shared" ca="1" si="1"/>
        <v>0</v>
      </c>
      <c r="V10" s="114">
        <f t="shared" ca="1" si="2"/>
        <v>0</v>
      </c>
      <c r="W10" s="115">
        <f>Spieltage!I107</f>
        <v>1</v>
      </c>
      <c r="X10" s="116">
        <v>1</v>
      </c>
      <c r="Y10" s="116">
        <f ca="1">(COUNTIF(B3:S36,1))/2</f>
        <v>0</v>
      </c>
      <c r="Z10" s="114">
        <f t="shared" ca="1" si="3"/>
        <v>0</v>
      </c>
    </row>
    <row r="11" spans="1:26" x14ac:dyDescent="0.2">
      <c r="A11" s="110" t="s">
        <v>170</v>
      </c>
      <c r="B11" s="111" t="str">
        <f ca="1">INDIRECT("Spieltage!$J"&amp;Spieltage!$BF123)</f>
        <v/>
      </c>
      <c r="C11" s="111" t="str">
        <f ca="1">INDIRECT("Spieltage!$J"&amp;Spieltage!$BI123)</f>
        <v/>
      </c>
      <c r="D11" s="111" t="str">
        <f ca="1">INDIRECT("Spieltage!$J"&amp;Spieltage!$BL123)</f>
        <v/>
      </c>
      <c r="E11" s="111" t="str">
        <f ca="1">INDIRECT("Spieltage!$J"&amp;Spieltage!$BO123)</f>
        <v/>
      </c>
      <c r="F11" s="111" t="str">
        <f ca="1">INDIRECT("Spieltage!$J"&amp;Spieltage!$BR123)</f>
        <v/>
      </c>
      <c r="G11" s="111" t="str">
        <f ca="1">INDIRECT("Spieltage!$J"&amp;Spieltage!$BU123)</f>
        <v/>
      </c>
      <c r="H11" s="111" t="str">
        <f ca="1">INDIRECT("Spieltage!$J"&amp;Spieltage!$BX123)</f>
        <v/>
      </c>
      <c r="I11" s="111" t="str">
        <f ca="1">INDIRECT("Spieltage!$J"&amp;Spieltage!$CA123)</f>
        <v/>
      </c>
      <c r="J11" s="111" t="str">
        <f ca="1">INDIRECT("Spieltage!$J"&amp;Spieltage!$CD123)</f>
        <v/>
      </c>
      <c r="K11" s="111" t="str">
        <f ca="1">INDIRECT("Spieltage!$J"&amp;Spieltage!$CG123)</f>
        <v/>
      </c>
      <c r="L11" s="111" t="str">
        <f ca="1">INDIRECT("Spieltage!$J"&amp;Spieltage!$CJ123)</f>
        <v/>
      </c>
      <c r="M11" s="111" t="str">
        <f ca="1">INDIRECT("Spieltage!$J"&amp;Spieltage!$CM123)</f>
        <v/>
      </c>
      <c r="N11" s="111" t="str">
        <f ca="1">INDIRECT("Spieltage!$J"&amp;Spieltage!$CP123)</f>
        <v/>
      </c>
      <c r="O11" s="111" t="str">
        <f ca="1">INDIRECT("Spieltage!$J"&amp;Spieltage!$CS123)</f>
        <v/>
      </c>
      <c r="P11" s="111" t="str">
        <f ca="1">INDIRECT("Spieltage!$J"&amp;Spieltage!$CV123)</f>
        <v/>
      </c>
      <c r="Q11" s="111" t="str">
        <f ca="1">INDIRECT("Spieltage!$J"&amp;Spieltage!$CY123)</f>
        <v/>
      </c>
      <c r="R11" s="111" t="str">
        <f ca="1">INDIRECT("Spieltage!$J"&amp;Spieltage!$DB123)</f>
        <v/>
      </c>
      <c r="S11" s="111" t="str">
        <f ca="1">INDIRECT("Spieltage!$J"&amp;Spieltage!$DE123)</f>
        <v/>
      </c>
      <c r="T11" s="112">
        <f t="shared" ca="1" si="0"/>
        <v>0</v>
      </c>
      <c r="U11" s="113">
        <f t="shared" ca="1" si="1"/>
        <v>0</v>
      </c>
      <c r="V11" s="114">
        <f t="shared" ca="1" si="2"/>
        <v>0</v>
      </c>
      <c r="W11" s="115">
        <f>Spieltage!I122</f>
        <v>1</v>
      </c>
      <c r="X11" s="116">
        <v>0</v>
      </c>
      <c r="Y11" s="116">
        <f ca="1">(COUNTIF(B3:S36,0))/2</f>
        <v>0</v>
      </c>
      <c r="Z11" s="114">
        <f ca="1">SUM(Z3:Z10)</f>
        <v>0</v>
      </c>
    </row>
    <row r="12" spans="1:26" x14ac:dyDescent="0.2">
      <c r="A12" s="110" t="s">
        <v>171</v>
      </c>
      <c r="B12" s="111" t="str">
        <f ca="1">INDIRECT("Spieltage!$J"&amp;Spieltage!$BF138)</f>
        <v/>
      </c>
      <c r="C12" s="111" t="str">
        <f ca="1">INDIRECT("Spieltage!$J"&amp;Spieltage!$BI138)</f>
        <v/>
      </c>
      <c r="D12" s="111" t="str">
        <f ca="1">INDIRECT("Spieltage!$J"&amp;Spieltage!$BL138)</f>
        <v/>
      </c>
      <c r="E12" s="111" t="str">
        <f ca="1">INDIRECT("Spieltage!$J"&amp;Spieltage!$BO138)</f>
        <v/>
      </c>
      <c r="F12" s="111" t="str">
        <f ca="1">INDIRECT("Spieltage!$J"&amp;Spieltage!$BR138)</f>
        <v/>
      </c>
      <c r="G12" s="111" t="str">
        <f ca="1">INDIRECT("Spieltage!$J"&amp;Spieltage!$BU138)</f>
        <v/>
      </c>
      <c r="H12" s="111" t="str">
        <f ca="1">INDIRECT("Spieltage!$J"&amp;Spieltage!$BX138)</f>
        <v/>
      </c>
      <c r="I12" s="111" t="str">
        <f ca="1">INDIRECT("Spieltage!$J"&amp;Spieltage!$CA138)</f>
        <v/>
      </c>
      <c r="J12" s="111" t="str">
        <f ca="1">INDIRECT("Spieltage!$J"&amp;Spieltage!$CD138)</f>
        <v/>
      </c>
      <c r="K12" s="111" t="str">
        <f ca="1">INDIRECT("Spieltage!$J"&amp;Spieltage!$CG138)</f>
        <v/>
      </c>
      <c r="L12" s="111" t="str">
        <f ca="1">INDIRECT("Spieltage!$J"&amp;Spieltage!$CJ138)</f>
        <v/>
      </c>
      <c r="M12" s="111" t="str">
        <f ca="1">INDIRECT("Spieltage!$J"&amp;Spieltage!$CM138)</f>
        <v/>
      </c>
      <c r="N12" s="111" t="str">
        <f ca="1">INDIRECT("Spieltage!$J"&amp;Spieltage!$CP138)</f>
        <v/>
      </c>
      <c r="O12" s="111" t="str">
        <f ca="1">INDIRECT("Spieltage!$J"&amp;Spieltage!$CS138)</f>
        <v/>
      </c>
      <c r="P12" s="111" t="str">
        <f ca="1">INDIRECT("Spieltage!$J"&amp;Spieltage!$CV138)</f>
        <v/>
      </c>
      <c r="Q12" s="111" t="str">
        <f ca="1">INDIRECT("Spieltage!$J"&amp;Spieltage!$CY138)</f>
        <v/>
      </c>
      <c r="R12" s="111" t="str">
        <f ca="1">INDIRECT("Spieltage!$J"&amp;Spieltage!$DB138)</f>
        <v/>
      </c>
      <c r="S12" s="111" t="str">
        <f ca="1">INDIRECT("Spieltage!$J"&amp;Spieltage!$DE138)</f>
        <v/>
      </c>
      <c r="T12" s="112">
        <f t="shared" ca="1" si="0"/>
        <v>0</v>
      </c>
      <c r="U12" s="113">
        <f t="shared" ca="1" si="1"/>
        <v>0</v>
      </c>
      <c r="V12" s="114">
        <f t="shared" ca="1" si="2"/>
        <v>0</v>
      </c>
      <c r="W12" s="115">
        <f>Spieltage!I137</f>
        <v>1</v>
      </c>
      <c r="X12" s="100"/>
      <c r="Y12" s="100"/>
      <c r="Z12" s="100"/>
    </row>
    <row r="13" spans="1:26" x14ac:dyDescent="0.2">
      <c r="A13" s="110" t="s">
        <v>172</v>
      </c>
      <c r="B13" s="111" t="str">
        <f ca="1">INDIRECT("Spieltage!$J"&amp;Spieltage!$BF153)</f>
        <v/>
      </c>
      <c r="C13" s="111" t="str">
        <f ca="1">INDIRECT("Spieltage!$J"&amp;Spieltage!$BI153)</f>
        <v/>
      </c>
      <c r="D13" s="111" t="str">
        <f ca="1">INDIRECT("Spieltage!$J"&amp;Spieltage!$BL153)</f>
        <v/>
      </c>
      <c r="E13" s="111" t="str">
        <f ca="1">INDIRECT("Spieltage!$J"&amp;Spieltage!$BO153)</f>
        <v/>
      </c>
      <c r="F13" s="111" t="str">
        <f ca="1">INDIRECT("Spieltage!$J"&amp;Spieltage!$BR153)</f>
        <v/>
      </c>
      <c r="G13" s="111" t="str">
        <f ca="1">INDIRECT("Spieltage!$J"&amp;Spieltage!$BU153)</f>
        <v/>
      </c>
      <c r="H13" s="111" t="str">
        <f ca="1">INDIRECT("Spieltage!$J"&amp;Spieltage!$BX153)</f>
        <v/>
      </c>
      <c r="I13" s="111" t="str">
        <f ca="1">INDIRECT("Spieltage!$J"&amp;Spieltage!$CA153)</f>
        <v/>
      </c>
      <c r="J13" s="111" t="str">
        <f ca="1">INDIRECT("Spieltage!$J"&amp;Spieltage!$CD153)</f>
        <v/>
      </c>
      <c r="K13" s="111" t="str">
        <f ca="1">INDIRECT("Spieltage!$J"&amp;Spieltage!$CG153)</f>
        <v/>
      </c>
      <c r="L13" s="111" t="str">
        <f ca="1">INDIRECT("Spieltage!$J"&amp;Spieltage!$CJ153)</f>
        <v/>
      </c>
      <c r="M13" s="111" t="str">
        <f ca="1">INDIRECT("Spieltage!$J"&amp;Spieltage!$CM153)</f>
        <v/>
      </c>
      <c r="N13" s="111" t="str">
        <f ca="1">INDIRECT("Spieltage!$J"&amp;Spieltage!$CP153)</f>
        <v/>
      </c>
      <c r="O13" s="111" t="str">
        <f ca="1">INDIRECT("Spieltage!$J"&amp;Spieltage!$CS153)</f>
        <v/>
      </c>
      <c r="P13" s="111" t="str">
        <f ca="1">INDIRECT("Spieltage!$J"&amp;Spieltage!$CV153)</f>
        <v/>
      </c>
      <c r="Q13" s="111" t="str">
        <f ca="1">INDIRECT("Spieltage!$J"&amp;Spieltage!$CY153)</f>
        <v/>
      </c>
      <c r="R13" s="111" t="str">
        <f ca="1">INDIRECT("Spieltage!$J"&amp;Spieltage!$DB153)</f>
        <v/>
      </c>
      <c r="S13" s="111" t="str">
        <f ca="1">INDIRECT("Spieltage!$J"&amp;Spieltage!$DE153)</f>
        <v/>
      </c>
      <c r="T13" s="112">
        <f t="shared" ca="1" si="0"/>
        <v>0</v>
      </c>
      <c r="U13" s="113">
        <f t="shared" ca="1" si="1"/>
        <v>0</v>
      </c>
      <c r="V13" s="114">
        <f t="shared" ca="1" si="2"/>
        <v>0</v>
      </c>
      <c r="W13" s="115">
        <f>Spieltage!I152</f>
        <v>1</v>
      </c>
      <c r="X13" s="100"/>
      <c r="Y13" s="100"/>
      <c r="Z13" s="100"/>
    </row>
    <row r="14" spans="1:26" x14ac:dyDescent="0.2">
      <c r="A14" s="110" t="s">
        <v>173</v>
      </c>
      <c r="B14" s="111" t="str">
        <f ca="1">INDIRECT("Spieltage!$J"&amp;Spieltage!$BF168)</f>
        <v/>
      </c>
      <c r="C14" s="111" t="str">
        <f ca="1">INDIRECT("Spieltage!$J"&amp;Spieltage!$BI168)</f>
        <v/>
      </c>
      <c r="D14" s="111" t="str">
        <f ca="1">INDIRECT("Spieltage!$J"&amp;Spieltage!$BL168)</f>
        <v/>
      </c>
      <c r="E14" s="111" t="str">
        <f ca="1">INDIRECT("Spieltage!$J"&amp;Spieltage!$BO168)</f>
        <v/>
      </c>
      <c r="F14" s="111" t="str">
        <f ca="1">INDIRECT("Spieltage!$J"&amp;Spieltage!$BR168)</f>
        <v/>
      </c>
      <c r="G14" s="111" t="str">
        <f ca="1">INDIRECT("Spieltage!$J"&amp;Spieltage!$BU168)</f>
        <v/>
      </c>
      <c r="H14" s="111" t="str">
        <f ca="1">INDIRECT("Spieltage!$J"&amp;Spieltage!$BX168)</f>
        <v/>
      </c>
      <c r="I14" s="111" t="str">
        <f ca="1">INDIRECT("Spieltage!$J"&amp;Spieltage!$CA168)</f>
        <v/>
      </c>
      <c r="J14" s="111" t="str">
        <f ca="1">INDIRECT("Spieltage!$J"&amp;Spieltage!$CD168)</f>
        <v/>
      </c>
      <c r="K14" s="111" t="str">
        <f ca="1">INDIRECT("Spieltage!$J"&amp;Spieltage!$CG168)</f>
        <v/>
      </c>
      <c r="L14" s="111" t="str">
        <f ca="1">INDIRECT("Spieltage!$J"&amp;Spieltage!$CJ168)</f>
        <v/>
      </c>
      <c r="M14" s="111" t="str">
        <f ca="1">INDIRECT("Spieltage!$J"&amp;Spieltage!$CM168)</f>
        <v/>
      </c>
      <c r="N14" s="111" t="str">
        <f ca="1">INDIRECT("Spieltage!$J"&amp;Spieltage!$CP168)</f>
        <v/>
      </c>
      <c r="O14" s="111" t="str">
        <f ca="1">INDIRECT("Spieltage!$J"&amp;Spieltage!$CS168)</f>
        <v/>
      </c>
      <c r="P14" s="111" t="str">
        <f ca="1">INDIRECT("Spieltage!$J"&amp;Spieltage!$CV168)</f>
        <v/>
      </c>
      <c r="Q14" s="111" t="str">
        <f ca="1">INDIRECT("Spieltage!$J"&amp;Spieltage!$CY168)</f>
        <v/>
      </c>
      <c r="R14" s="111" t="str">
        <f ca="1">INDIRECT("Spieltage!$J"&amp;Spieltage!$DB168)</f>
        <v/>
      </c>
      <c r="S14" s="111" t="str">
        <f ca="1">INDIRECT("Spieltage!$J"&amp;Spieltage!$DE168)</f>
        <v/>
      </c>
      <c r="T14" s="112">
        <f t="shared" ca="1" si="0"/>
        <v>0</v>
      </c>
      <c r="U14" s="113">
        <f t="shared" ca="1" si="1"/>
        <v>0</v>
      </c>
      <c r="V14" s="114">
        <f t="shared" ca="1" si="2"/>
        <v>0</v>
      </c>
      <c r="W14" s="115">
        <f>Spieltage!I167</f>
        <v>1</v>
      </c>
      <c r="X14" s="100"/>
      <c r="Y14" s="100"/>
      <c r="Z14" s="100"/>
    </row>
    <row r="15" spans="1:26" x14ac:dyDescent="0.2">
      <c r="A15" s="110" t="s">
        <v>174</v>
      </c>
      <c r="B15" s="111" t="str">
        <f ca="1">INDIRECT("Spieltage!$J"&amp;Spieltage!$BF183)</f>
        <v/>
      </c>
      <c r="C15" s="111" t="str">
        <f ca="1">INDIRECT("Spieltage!$J"&amp;Spieltage!$BI183)</f>
        <v/>
      </c>
      <c r="D15" s="111" t="str">
        <f ca="1">INDIRECT("Spieltage!$J"&amp;Spieltage!$BL183)</f>
        <v/>
      </c>
      <c r="E15" s="111" t="str">
        <f ca="1">INDIRECT("Spieltage!$J"&amp;Spieltage!$BO183)</f>
        <v/>
      </c>
      <c r="F15" s="111" t="str">
        <f ca="1">INDIRECT("Spieltage!$J"&amp;Spieltage!$BR183)</f>
        <v/>
      </c>
      <c r="G15" s="111" t="str">
        <f ca="1">INDIRECT("Spieltage!$J"&amp;Spieltage!$BU183)</f>
        <v/>
      </c>
      <c r="H15" s="111" t="str">
        <f ca="1">INDIRECT("Spieltage!$J"&amp;Spieltage!$BX183)</f>
        <v/>
      </c>
      <c r="I15" s="111" t="str">
        <f ca="1">INDIRECT("Spieltage!$J"&amp;Spieltage!$CA183)</f>
        <v/>
      </c>
      <c r="J15" s="111" t="str">
        <f ca="1">INDIRECT("Spieltage!$J"&amp;Spieltage!$CD183)</f>
        <v/>
      </c>
      <c r="K15" s="111" t="str">
        <f ca="1">INDIRECT("Spieltage!$J"&amp;Spieltage!$CG183)</f>
        <v/>
      </c>
      <c r="L15" s="111" t="str">
        <f ca="1">INDIRECT("Spieltage!$J"&amp;Spieltage!$CJ183)</f>
        <v/>
      </c>
      <c r="M15" s="111" t="str">
        <f ca="1">INDIRECT("Spieltage!$J"&amp;Spieltage!$CM183)</f>
        <v/>
      </c>
      <c r="N15" s="111" t="str">
        <f ca="1">INDIRECT("Spieltage!$J"&amp;Spieltage!$CP183)</f>
        <v/>
      </c>
      <c r="O15" s="111" t="str">
        <f ca="1">INDIRECT("Spieltage!$J"&amp;Spieltage!$CS183)</f>
        <v/>
      </c>
      <c r="P15" s="111" t="str">
        <f ca="1">INDIRECT("Spieltage!$J"&amp;Spieltage!$CV183)</f>
        <v/>
      </c>
      <c r="Q15" s="111" t="str">
        <f ca="1">INDIRECT("Spieltage!$J"&amp;Spieltage!$CY183)</f>
        <v/>
      </c>
      <c r="R15" s="111" t="str">
        <f ca="1">INDIRECT("Spieltage!$J"&amp;Spieltage!$DB183)</f>
        <v/>
      </c>
      <c r="S15" s="111" t="str">
        <f ca="1">INDIRECT("Spieltage!$J"&amp;Spieltage!$DE183)</f>
        <v/>
      </c>
      <c r="T15" s="112">
        <f t="shared" ca="1" si="0"/>
        <v>0</v>
      </c>
      <c r="U15" s="113">
        <f t="shared" ca="1" si="1"/>
        <v>0</v>
      </c>
      <c r="V15" s="114">
        <f t="shared" ca="1" si="2"/>
        <v>0</v>
      </c>
      <c r="W15" s="115">
        <f>Spieltage!I182</f>
        <v>1</v>
      </c>
      <c r="X15" s="100"/>
      <c r="Y15" s="100"/>
      <c r="Z15" s="100"/>
    </row>
    <row r="16" spans="1:26" x14ac:dyDescent="0.2">
      <c r="A16" s="110" t="s">
        <v>175</v>
      </c>
      <c r="B16" s="111" t="str">
        <f ca="1">INDIRECT("Spieltage!$J"&amp;Spieltage!$BF198)</f>
        <v/>
      </c>
      <c r="C16" s="111" t="str">
        <f ca="1">INDIRECT("Spieltage!$J"&amp;Spieltage!$BI198)</f>
        <v/>
      </c>
      <c r="D16" s="111" t="str">
        <f ca="1">INDIRECT("Spieltage!$J"&amp;Spieltage!$BL198)</f>
        <v/>
      </c>
      <c r="E16" s="111" t="str">
        <f ca="1">INDIRECT("Spieltage!$J"&amp;Spieltage!$BO198)</f>
        <v/>
      </c>
      <c r="F16" s="111" t="str">
        <f ca="1">INDIRECT("Spieltage!$J"&amp;Spieltage!$BR198)</f>
        <v/>
      </c>
      <c r="G16" s="111" t="str">
        <f ca="1">INDIRECT("Spieltage!$J"&amp;Spieltage!$BU198)</f>
        <v/>
      </c>
      <c r="H16" s="111" t="str">
        <f ca="1">INDIRECT("Spieltage!$J"&amp;Spieltage!$BX198)</f>
        <v/>
      </c>
      <c r="I16" s="111" t="str">
        <f ca="1">INDIRECT("Spieltage!$J"&amp;Spieltage!$CA198)</f>
        <v/>
      </c>
      <c r="J16" s="111" t="str">
        <f ca="1">INDIRECT("Spieltage!$J"&amp;Spieltage!$CD198)</f>
        <v/>
      </c>
      <c r="K16" s="111" t="str">
        <f ca="1">INDIRECT("Spieltage!$J"&amp;Spieltage!$CG198)</f>
        <v/>
      </c>
      <c r="L16" s="111" t="str">
        <f ca="1">INDIRECT("Spieltage!$J"&amp;Spieltage!$CJ198)</f>
        <v/>
      </c>
      <c r="M16" s="111" t="str">
        <f ca="1">INDIRECT("Spieltage!$J"&amp;Spieltage!$CM198)</f>
        <v/>
      </c>
      <c r="N16" s="111" t="str">
        <f ca="1">INDIRECT("Spieltage!$J"&amp;Spieltage!$CP198)</f>
        <v/>
      </c>
      <c r="O16" s="111" t="str">
        <f ca="1">INDIRECT("Spieltage!$J"&amp;Spieltage!$CS198)</f>
        <v/>
      </c>
      <c r="P16" s="111" t="str">
        <f ca="1">INDIRECT("Spieltage!$J"&amp;Spieltage!$CV198)</f>
        <v/>
      </c>
      <c r="Q16" s="111" t="str">
        <f ca="1">INDIRECT("Spieltage!$J"&amp;Spieltage!$CY198)</f>
        <v/>
      </c>
      <c r="R16" s="111" t="str">
        <f ca="1">INDIRECT("Spieltage!$J"&amp;Spieltage!$DB198)</f>
        <v/>
      </c>
      <c r="S16" s="111" t="str">
        <f ca="1">INDIRECT("Spieltage!$J"&amp;Spieltage!$DE198)</f>
        <v/>
      </c>
      <c r="T16" s="112">
        <f t="shared" ca="1" si="0"/>
        <v>0</v>
      </c>
      <c r="U16" s="113">
        <f t="shared" ca="1" si="1"/>
        <v>0</v>
      </c>
      <c r="V16" s="114">
        <f t="shared" ca="1" si="2"/>
        <v>0</v>
      </c>
      <c r="W16" s="115">
        <f>Spieltage!I197</f>
        <v>1</v>
      </c>
      <c r="X16" s="100"/>
      <c r="Y16" s="100"/>
      <c r="Z16" s="100"/>
    </row>
    <row r="17" spans="1:26" x14ac:dyDescent="0.2">
      <c r="A17" s="110" t="s">
        <v>176</v>
      </c>
      <c r="B17" s="111" t="str">
        <f ca="1">INDIRECT("Spieltage!$J"&amp;Spieltage!$BF213)</f>
        <v/>
      </c>
      <c r="C17" s="111" t="str">
        <f ca="1">INDIRECT("Spieltage!$J"&amp;Spieltage!$BI213)</f>
        <v/>
      </c>
      <c r="D17" s="111" t="str">
        <f ca="1">INDIRECT("Spieltage!$J"&amp;Spieltage!$BL213)</f>
        <v/>
      </c>
      <c r="E17" s="111" t="str">
        <f ca="1">INDIRECT("Spieltage!$J"&amp;Spieltage!$BO213)</f>
        <v/>
      </c>
      <c r="F17" s="111" t="str">
        <f ca="1">INDIRECT("Spieltage!$J"&amp;Spieltage!$BR213)</f>
        <v/>
      </c>
      <c r="G17" s="111" t="str">
        <f ca="1">INDIRECT("Spieltage!$J"&amp;Spieltage!$BU213)</f>
        <v/>
      </c>
      <c r="H17" s="111" t="str">
        <f ca="1">INDIRECT("Spieltage!$J"&amp;Spieltage!$BX213)</f>
        <v/>
      </c>
      <c r="I17" s="111" t="str">
        <f ca="1">INDIRECT("Spieltage!$J"&amp;Spieltage!$CA213)</f>
        <v/>
      </c>
      <c r="J17" s="111" t="str">
        <f ca="1">INDIRECT("Spieltage!$J"&amp;Spieltage!$CD213)</f>
        <v/>
      </c>
      <c r="K17" s="111" t="str">
        <f ca="1">INDIRECT("Spieltage!$J"&amp;Spieltage!$CG213)</f>
        <v/>
      </c>
      <c r="L17" s="111" t="str">
        <f ca="1">INDIRECT("Spieltage!$J"&amp;Spieltage!$CJ213)</f>
        <v/>
      </c>
      <c r="M17" s="111" t="str">
        <f ca="1">INDIRECT("Spieltage!$J"&amp;Spieltage!$CM213)</f>
        <v/>
      </c>
      <c r="N17" s="111" t="str">
        <f ca="1">INDIRECT("Spieltage!$J"&amp;Spieltage!$CP213)</f>
        <v/>
      </c>
      <c r="O17" s="111" t="str">
        <f ca="1">INDIRECT("Spieltage!$J"&amp;Spieltage!$CS213)</f>
        <v/>
      </c>
      <c r="P17" s="111" t="str">
        <f ca="1">INDIRECT("Spieltage!$J"&amp;Spieltage!$CV213)</f>
        <v/>
      </c>
      <c r="Q17" s="111" t="str">
        <f ca="1">INDIRECT("Spieltage!$J"&amp;Spieltage!$CY213)</f>
        <v/>
      </c>
      <c r="R17" s="111" t="str">
        <f ca="1">INDIRECT("Spieltage!$J"&amp;Spieltage!$DB213)</f>
        <v/>
      </c>
      <c r="S17" s="111" t="str">
        <f ca="1">INDIRECT("Spieltage!$J"&amp;Spieltage!$DE213)</f>
        <v/>
      </c>
      <c r="T17" s="112">
        <f t="shared" ca="1" si="0"/>
        <v>0</v>
      </c>
      <c r="U17" s="113">
        <f t="shared" ca="1" si="1"/>
        <v>0</v>
      </c>
      <c r="V17" s="114">
        <f t="shared" ca="1" si="2"/>
        <v>0</v>
      </c>
      <c r="W17" s="115">
        <f>Spieltage!I212</f>
        <v>1</v>
      </c>
      <c r="X17" s="100"/>
      <c r="Y17" s="100"/>
      <c r="Z17" s="100"/>
    </row>
    <row r="18" spans="1:26" x14ac:dyDescent="0.2">
      <c r="A18" s="110" t="s">
        <v>177</v>
      </c>
      <c r="B18" s="111" t="str">
        <f ca="1">INDIRECT("Spieltage!$J"&amp;Spieltage!$BF228)</f>
        <v/>
      </c>
      <c r="C18" s="111" t="str">
        <f ca="1">INDIRECT("Spieltage!$J"&amp;Spieltage!$BI228)</f>
        <v/>
      </c>
      <c r="D18" s="111" t="str">
        <f ca="1">INDIRECT("Spieltage!$J"&amp;Spieltage!$BL228)</f>
        <v/>
      </c>
      <c r="E18" s="111" t="str">
        <f ca="1">INDIRECT("Spieltage!$J"&amp;Spieltage!$BO228)</f>
        <v/>
      </c>
      <c r="F18" s="111" t="str">
        <f ca="1">INDIRECT("Spieltage!$J"&amp;Spieltage!$BR228)</f>
        <v/>
      </c>
      <c r="G18" s="111" t="str">
        <f ca="1">INDIRECT("Spieltage!$J"&amp;Spieltage!$BU228)</f>
        <v/>
      </c>
      <c r="H18" s="111" t="str">
        <f ca="1">INDIRECT("Spieltage!$J"&amp;Spieltage!$BX228)</f>
        <v/>
      </c>
      <c r="I18" s="111" t="str">
        <f ca="1">INDIRECT("Spieltage!$J"&amp;Spieltage!$CA228)</f>
        <v/>
      </c>
      <c r="J18" s="111" t="str">
        <f ca="1">INDIRECT("Spieltage!$J"&amp;Spieltage!$CD228)</f>
        <v/>
      </c>
      <c r="K18" s="111" t="str">
        <f ca="1">INDIRECT("Spieltage!$J"&amp;Spieltage!$CG228)</f>
        <v/>
      </c>
      <c r="L18" s="111" t="str">
        <f ca="1">INDIRECT("Spieltage!$J"&amp;Spieltage!$CJ228)</f>
        <v/>
      </c>
      <c r="M18" s="111" t="str">
        <f ca="1">INDIRECT("Spieltage!$J"&amp;Spieltage!$CM228)</f>
        <v/>
      </c>
      <c r="N18" s="111" t="str">
        <f ca="1">INDIRECT("Spieltage!$J"&amp;Spieltage!$CP228)</f>
        <v/>
      </c>
      <c r="O18" s="111" t="str">
        <f ca="1">INDIRECT("Spieltage!$J"&amp;Spieltage!$CS228)</f>
        <v/>
      </c>
      <c r="P18" s="111" t="str">
        <f ca="1">INDIRECT("Spieltage!$J"&amp;Spieltage!$CV228)</f>
        <v/>
      </c>
      <c r="Q18" s="111" t="str">
        <f ca="1">INDIRECT("Spieltage!$J"&amp;Spieltage!$CY228)</f>
        <v/>
      </c>
      <c r="R18" s="111" t="str">
        <f ca="1">INDIRECT("Spieltage!$J"&amp;Spieltage!$DB228)</f>
        <v/>
      </c>
      <c r="S18" s="111" t="str">
        <f ca="1">INDIRECT("Spieltage!$J"&amp;Spieltage!$DE228)</f>
        <v/>
      </c>
      <c r="T18" s="112">
        <f t="shared" ca="1" si="0"/>
        <v>0</v>
      </c>
      <c r="U18" s="113">
        <f t="shared" ca="1" si="1"/>
        <v>0</v>
      </c>
      <c r="V18" s="114">
        <f t="shared" ca="1" si="2"/>
        <v>0</v>
      </c>
      <c r="W18" s="115">
        <f>Spieltage!I227</f>
        <v>1</v>
      </c>
      <c r="X18" s="100"/>
      <c r="Y18" s="100"/>
      <c r="Z18" s="100"/>
    </row>
    <row r="19" spans="1:26" x14ac:dyDescent="0.2">
      <c r="A19" s="110" t="s">
        <v>178</v>
      </c>
      <c r="B19" s="111" t="str">
        <f ca="1">INDIRECT("Spieltage!$J"&amp;Spieltage!$BF243)</f>
        <v/>
      </c>
      <c r="C19" s="111" t="str">
        <f ca="1">INDIRECT("Spieltage!$J"&amp;Spieltage!$BI243)</f>
        <v/>
      </c>
      <c r="D19" s="111" t="str">
        <f ca="1">INDIRECT("Spieltage!$J"&amp;Spieltage!$BL243)</f>
        <v/>
      </c>
      <c r="E19" s="111" t="str">
        <f ca="1">INDIRECT("Spieltage!$J"&amp;Spieltage!$BO243)</f>
        <v/>
      </c>
      <c r="F19" s="111" t="str">
        <f ca="1">INDIRECT("Spieltage!$J"&amp;Spieltage!$BR243)</f>
        <v/>
      </c>
      <c r="G19" s="111" t="str">
        <f ca="1">INDIRECT("Spieltage!$J"&amp;Spieltage!$BU243)</f>
        <v/>
      </c>
      <c r="H19" s="111" t="str">
        <f ca="1">INDIRECT("Spieltage!$J"&amp;Spieltage!$BX243)</f>
        <v/>
      </c>
      <c r="I19" s="111" t="str">
        <f ca="1">INDIRECT("Spieltage!$J"&amp;Spieltage!$CA243)</f>
        <v/>
      </c>
      <c r="J19" s="111" t="str">
        <f ca="1">INDIRECT("Spieltage!$J"&amp;Spieltage!$CD243)</f>
        <v/>
      </c>
      <c r="K19" s="111" t="str">
        <f ca="1">INDIRECT("Spieltage!$J"&amp;Spieltage!$CG243)</f>
        <v/>
      </c>
      <c r="L19" s="111" t="str">
        <f ca="1">INDIRECT("Spieltage!$J"&amp;Spieltage!$CJ243)</f>
        <v/>
      </c>
      <c r="M19" s="111" t="str">
        <f ca="1">INDIRECT("Spieltage!$J"&amp;Spieltage!$CM243)</f>
        <v/>
      </c>
      <c r="N19" s="111" t="str">
        <f ca="1">INDIRECT("Spieltage!$J"&amp;Spieltage!$CP243)</f>
        <v/>
      </c>
      <c r="O19" s="111" t="str">
        <f ca="1">INDIRECT("Spieltage!$J"&amp;Spieltage!$CS243)</f>
        <v/>
      </c>
      <c r="P19" s="111" t="str">
        <f ca="1">INDIRECT("Spieltage!$J"&amp;Spieltage!$CV243)</f>
        <v/>
      </c>
      <c r="Q19" s="111" t="str">
        <f ca="1">INDIRECT("Spieltage!$J"&amp;Spieltage!$CY243)</f>
        <v/>
      </c>
      <c r="R19" s="111" t="str">
        <f ca="1">INDIRECT("Spieltage!$J"&amp;Spieltage!$DB243)</f>
        <v/>
      </c>
      <c r="S19" s="111" t="str">
        <f ca="1">INDIRECT("Spieltage!$J"&amp;Spieltage!$DE243)</f>
        <v/>
      </c>
      <c r="T19" s="112">
        <f t="shared" ca="1" si="0"/>
        <v>0</v>
      </c>
      <c r="U19" s="113">
        <f t="shared" ca="1" si="1"/>
        <v>0</v>
      </c>
      <c r="V19" s="114">
        <f t="shared" ca="1" si="2"/>
        <v>0</v>
      </c>
      <c r="W19" s="115">
        <f>Spieltage!I242</f>
        <v>1</v>
      </c>
      <c r="X19" s="100"/>
      <c r="Y19" s="100"/>
      <c r="Z19" s="100"/>
    </row>
    <row r="20" spans="1:26" x14ac:dyDescent="0.2">
      <c r="A20" s="110" t="s">
        <v>179</v>
      </c>
      <c r="B20" s="111" t="str">
        <f ca="1">INDIRECT("Spieltage!$J"&amp;Spieltage!$BF258)</f>
        <v/>
      </c>
      <c r="C20" s="111" t="str">
        <f ca="1">INDIRECT("Spieltage!$J"&amp;Spieltage!$BI258)</f>
        <v/>
      </c>
      <c r="D20" s="111" t="str">
        <f ca="1">INDIRECT("Spieltage!$J"&amp;Spieltage!$BL258)</f>
        <v/>
      </c>
      <c r="E20" s="111" t="str">
        <f ca="1">INDIRECT("Spieltage!$J"&amp;Spieltage!$BO258)</f>
        <v/>
      </c>
      <c r="F20" s="111" t="str">
        <f ca="1">INDIRECT("Spieltage!$J"&amp;Spieltage!$BR258)</f>
        <v/>
      </c>
      <c r="G20" s="111" t="str">
        <f ca="1">INDIRECT("Spieltage!$J"&amp;Spieltage!$BU258)</f>
        <v/>
      </c>
      <c r="H20" s="111" t="str">
        <f ca="1">INDIRECT("Spieltage!$J"&amp;Spieltage!$BX258)</f>
        <v/>
      </c>
      <c r="I20" s="111" t="str">
        <f ca="1">INDIRECT("Spieltage!$J"&amp;Spieltage!$CA258)</f>
        <v/>
      </c>
      <c r="J20" s="111" t="str">
        <f ca="1">INDIRECT("Spieltage!$J"&amp;Spieltage!$CD258)</f>
        <v/>
      </c>
      <c r="K20" s="111" t="str">
        <f ca="1">INDIRECT("Spieltage!$J"&amp;Spieltage!$CG258)</f>
        <v/>
      </c>
      <c r="L20" s="111" t="str">
        <f ca="1">INDIRECT("Spieltage!$J"&amp;Spieltage!$CJ258)</f>
        <v/>
      </c>
      <c r="M20" s="111" t="str">
        <f ca="1">INDIRECT("Spieltage!$J"&amp;Spieltage!$CM258)</f>
        <v/>
      </c>
      <c r="N20" s="111" t="str">
        <f ca="1">INDIRECT("Spieltage!$J"&amp;Spieltage!$CP258)</f>
        <v/>
      </c>
      <c r="O20" s="111" t="str">
        <f ca="1">INDIRECT("Spieltage!$J"&amp;Spieltage!$CS258)</f>
        <v/>
      </c>
      <c r="P20" s="111" t="str">
        <f ca="1">INDIRECT("Spieltage!$J"&amp;Spieltage!$CV258)</f>
        <v/>
      </c>
      <c r="Q20" s="111" t="str">
        <f ca="1">INDIRECT("Spieltage!$J"&amp;Spieltage!$CY258)</f>
        <v/>
      </c>
      <c r="R20" s="111" t="str">
        <f ca="1">INDIRECT("Spieltage!$J"&amp;Spieltage!$DB258)</f>
        <v/>
      </c>
      <c r="S20" s="111" t="str">
        <f ca="1">INDIRECT("Spieltage!$J"&amp;Spieltage!$DE258)</f>
        <v/>
      </c>
      <c r="T20" s="112">
        <f t="shared" ca="1" si="0"/>
        <v>0</v>
      </c>
      <c r="U20" s="113">
        <f t="shared" ca="1" si="1"/>
        <v>0</v>
      </c>
      <c r="V20" s="114">
        <f t="shared" ca="1" si="2"/>
        <v>0</v>
      </c>
      <c r="W20" s="115">
        <f>Spieltage!I257</f>
        <v>1</v>
      </c>
      <c r="X20" s="100"/>
      <c r="Y20" s="100"/>
      <c r="Z20" s="100"/>
    </row>
    <row r="21" spans="1:26" x14ac:dyDescent="0.2">
      <c r="A21" s="110" t="s">
        <v>180</v>
      </c>
      <c r="B21" s="111" t="str">
        <f ca="1">INDIRECT("Spieltage!$J"&amp;Spieltage!$BF273)</f>
        <v/>
      </c>
      <c r="C21" s="111" t="str">
        <f ca="1">INDIRECT("Spieltage!$J"&amp;Spieltage!$BI273)</f>
        <v/>
      </c>
      <c r="D21" s="111" t="str">
        <f ca="1">INDIRECT("Spieltage!$J"&amp;Spieltage!$BL273)</f>
        <v/>
      </c>
      <c r="E21" s="111" t="str">
        <f ca="1">INDIRECT("Spieltage!$J"&amp;Spieltage!$BO273)</f>
        <v/>
      </c>
      <c r="F21" s="111" t="str">
        <f ca="1">INDIRECT("Spieltage!$J"&amp;Spieltage!$BR273)</f>
        <v/>
      </c>
      <c r="G21" s="111" t="str">
        <f ca="1">INDIRECT("Spieltage!$J"&amp;Spieltage!$BU273)</f>
        <v/>
      </c>
      <c r="H21" s="111" t="str">
        <f ca="1">INDIRECT("Spieltage!$J"&amp;Spieltage!$BX273)</f>
        <v/>
      </c>
      <c r="I21" s="111" t="str">
        <f ca="1">INDIRECT("Spieltage!$J"&amp;Spieltage!$CA273)</f>
        <v/>
      </c>
      <c r="J21" s="111" t="str">
        <f ca="1">INDIRECT("Spieltage!$J"&amp;Spieltage!$CD273)</f>
        <v/>
      </c>
      <c r="K21" s="111" t="str">
        <f ca="1">INDIRECT("Spieltage!$J"&amp;Spieltage!$CG273)</f>
        <v/>
      </c>
      <c r="L21" s="111" t="str">
        <f ca="1">INDIRECT("Spieltage!$J"&amp;Spieltage!$CJ273)</f>
        <v/>
      </c>
      <c r="M21" s="111" t="str">
        <f ca="1">INDIRECT("Spieltage!$J"&amp;Spieltage!$CM273)</f>
        <v/>
      </c>
      <c r="N21" s="111" t="str">
        <f ca="1">INDIRECT("Spieltage!$J"&amp;Spieltage!$CP273)</f>
        <v/>
      </c>
      <c r="O21" s="111" t="str">
        <f ca="1">INDIRECT("Spieltage!$J"&amp;Spieltage!$CS273)</f>
        <v/>
      </c>
      <c r="P21" s="111" t="str">
        <f ca="1">INDIRECT("Spieltage!$J"&amp;Spieltage!$CV273)</f>
        <v/>
      </c>
      <c r="Q21" s="111" t="str">
        <f ca="1">INDIRECT("Spieltage!$J"&amp;Spieltage!$CY273)</f>
        <v/>
      </c>
      <c r="R21" s="111" t="str">
        <f ca="1">INDIRECT("Spieltage!$J"&amp;Spieltage!$DB273)</f>
        <v/>
      </c>
      <c r="S21" s="111" t="str">
        <f ca="1">INDIRECT("Spieltage!$J"&amp;Spieltage!$DE273)</f>
        <v/>
      </c>
      <c r="T21" s="112">
        <f t="shared" ca="1" si="0"/>
        <v>0</v>
      </c>
      <c r="U21" s="113">
        <f t="shared" ca="1" si="1"/>
        <v>0</v>
      </c>
      <c r="V21" s="114">
        <f t="shared" ca="1" si="2"/>
        <v>0</v>
      </c>
      <c r="W21" s="115">
        <f>Spieltage!I272</f>
        <v>1</v>
      </c>
      <c r="X21" s="100"/>
      <c r="Y21" s="100"/>
      <c r="Z21" s="100"/>
    </row>
    <row r="22" spans="1:26" x14ac:dyDescent="0.2">
      <c r="A22" s="110" t="s">
        <v>181</v>
      </c>
      <c r="B22" s="111" t="str">
        <f ca="1">INDIRECT("Spieltage!$J"&amp;Spieltage!$BF288)</f>
        <v/>
      </c>
      <c r="C22" s="111" t="str">
        <f ca="1">INDIRECT("Spieltage!$J"&amp;Spieltage!$BI288)</f>
        <v/>
      </c>
      <c r="D22" s="111" t="str">
        <f ca="1">INDIRECT("Spieltage!$J"&amp;Spieltage!$BL288)</f>
        <v/>
      </c>
      <c r="E22" s="111" t="str">
        <f ca="1">INDIRECT("Spieltage!$J"&amp;Spieltage!$BO288)</f>
        <v/>
      </c>
      <c r="F22" s="111" t="str">
        <f ca="1">INDIRECT("Spieltage!$J"&amp;Spieltage!$BR288)</f>
        <v/>
      </c>
      <c r="G22" s="111" t="str">
        <f ca="1">INDIRECT("Spieltage!$J"&amp;Spieltage!$BU288)</f>
        <v/>
      </c>
      <c r="H22" s="111" t="str">
        <f ca="1">INDIRECT("Spieltage!$J"&amp;Spieltage!$BX288)</f>
        <v/>
      </c>
      <c r="I22" s="111" t="str">
        <f ca="1">INDIRECT("Spieltage!$J"&amp;Spieltage!$CA288)</f>
        <v/>
      </c>
      <c r="J22" s="111" t="str">
        <f ca="1">INDIRECT("Spieltage!$J"&amp;Spieltage!$CD288)</f>
        <v/>
      </c>
      <c r="K22" s="111" t="str">
        <f ca="1">INDIRECT("Spieltage!$J"&amp;Spieltage!$CG288)</f>
        <v/>
      </c>
      <c r="L22" s="111" t="str">
        <f ca="1">INDIRECT("Spieltage!$J"&amp;Spieltage!$CJ288)</f>
        <v/>
      </c>
      <c r="M22" s="111" t="str">
        <f ca="1">INDIRECT("Spieltage!$J"&amp;Spieltage!$CM288)</f>
        <v/>
      </c>
      <c r="N22" s="111" t="str">
        <f ca="1">INDIRECT("Spieltage!$J"&amp;Spieltage!$CP288)</f>
        <v/>
      </c>
      <c r="O22" s="111" t="str">
        <f ca="1">INDIRECT("Spieltage!$J"&amp;Spieltage!$CS288)</f>
        <v/>
      </c>
      <c r="P22" s="111" t="str">
        <f ca="1">INDIRECT("Spieltage!$J"&amp;Spieltage!$CV288)</f>
        <v/>
      </c>
      <c r="Q22" s="111" t="str">
        <f ca="1">INDIRECT("Spieltage!$J"&amp;Spieltage!$CY288)</f>
        <v/>
      </c>
      <c r="R22" s="111" t="str">
        <f ca="1">INDIRECT("Spieltage!$J"&amp;Spieltage!$DB288)</f>
        <v/>
      </c>
      <c r="S22" s="111" t="str">
        <f ca="1">INDIRECT("Spieltage!$J"&amp;Spieltage!$DE288)</f>
        <v/>
      </c>
      <c r="T22" s="112">
        <f t="shared" ca="1" si="0"/>
        <v>0</v>
      </c>
      <c r="U22" s="113">
        <f t="shared" ca="1" si="1"/>
        <v>0</v>
      </c>
      <c r="V22" s="114">
        <f t="shared" ca="1" si="2"/>
        <v>0</v>
      </c>
      <c r="W22" s="115">
        <f>Spieltage!I287</f>
        <v>1</v>
      </c>
      <c r="X22" s="100"/>
      <c r="Y22" s="100"/>
      <c r="Z22" s="100"/>
    </row>
    <row r="23" spans="1:26" x14ac:dyDescent="0.2">
      <c r="A23" s="110" t="s">
        <v>182</v>
      </c>
      <c r="B23" s="111" t="str">
        <f ca="1">INDIRECT("Spieltage!$J"&amp;Spieltage!$BF303)</f>
        <v/>
      </c>
      <c r="C23" s="111" t="str">
        <f ca="1">INDIRECT("Spieltage!$J"&amp;Spieltage!$BI303)</f>
        <v/>
      </c>
      <c r="D23" s="111" t="str">
        <f ca="1">INDIRECT("Spieltage!$J"&amp;Spieltage!$BL303)</f>
        <v/>
      </c>
      <c r="E23" s="111" t="str">
        <f ca="1">INDIRECT("Spieltage!$J"&amp;Spieltage!$BO303)</f>
        <v/>
      </c>
      <c r="F23" s="111" t="str">
        <f ca="1">INDIRECT("Spieltage!$J"&amp;Spieltage!$BR303)</f>
        <v/>
      </c>
      <c r="G23" s="111" t="str">
        <f ca="1">INDIRECT("Spieltage!$J"&amp;Spieltage!$BU303)</f>
        <v/>
      </c>
      <c r="H23" s="111" t="str">
        <f ca="1">INDIRECT("Spieltage!$J"&amp;Spieltage!$BX303)</f>
        <v/>
      </c>
      <c r="I23" s="111" t="str">
        <f ca="1">INDIRECT("Spieltage!$J"&amp;Spieltage!$CA303)</f>
        <v/>
      </c>
      <c r="J23" s="111" t="str">
        <f ca="1">INDIRECT("Spieltage!$J"&amp;Spieltage!$CD303)</f>
        <v/>
      </c>
      <c r="K23" s="111" t="str">
        <f ca="1">INDIRECT("Spieltage!$J"&amp;Spieltage!$CG303)</f>
        <v/>
      </c>
      <c r="L23" s="111" t="str">
        <f ca="1">INDIRECT("Spieltage!$J"&amp;Spieltage!$CJ303)</f>
        <v/>
      </c>
      <c r="M23" s="111" t="str">
        <f ca="1">INDIRECT("Spieltage!$J"&amp;Spieltage!$CM303)</f>
        <v/>
      </c>
      <c r="N23" s="111" t="str">
        <f ca="1">INDIRECT("Spieltage!$J"&amp;Spieltage!$CP303)</f>
        <v/>
      </c>
      <c r="O23" s="111" t="str">
        <f ca="1">INDIRECT("Spieltage!$J"&amp;Spieltage!$CS303)</f>
        <v/>
      </c>
      <c r="P23" s="111" t="str">
        <f ca="1">INDIRECT("Spieltage!$J"&amp;Spieltage!$CV303)</f>
        <v/>
      </c>
      <c r="Q23" s="111" t="str">
        <f ca="1">INDIRECT("Spieltage!$J"&amp;Spieltage!$CY303)</f>
        <v/>
      </c>
      <c r="R23" s="111" t="str">
        <f ca="1">INDIRECT("Spieltage!$J"&amp;Spieltage!$DB303)</f>
        <v/>
      </c>
      <c r="S23" s="111" t="str">
        <f ca="1">INDIRECT("Spieltage!$J"&amp;Spieltage!$DE303)</f>
        <v/>
      </c>
      <c r="T23" s="112">
        <f t="shared" ca="1" si="0"/>
        <v>0</v>
      </c>
      <c r="U23" s="113">
        <f t="shared" ca="1" si="1"/>
        <v>0</v>
      </c>
      <c r="V23" s="114">
        <f t="shared" ca="1" si="2"/>
        <v>0</v>
      </c>
      <c r="W23" s="115">
        <f>Spieltage!I302</f>
        <v>1</v>
      </c>
      <c r="X23" s="100"/>
      <c r="Y23" s="100"/>
      <c r="Z23" s="100"/>
    </row>
    <row r="24" spans="1:26" x14ac:dyDescent="0.2">
      <c r="A24" s="110" t="s">
        <v>183</v>
      </c>
      <c r="B24" s="111" t="str">
        <f ca="1">INDIRECT("Spieltage!$J"&amp;Spieltage!$BF318)</f>
        <v/>
      </c>
      <c r="C24" s="111" t="str">
        <f ca="1">INDIRECT("Spieltage!$J"&amp;Spieltage!$BI318)</f>
        <v/>
      </c>
      <c r="D24" s="111" t="str">
        <f ca="1">INDIRECT("Spieltage!$J"&amp;Spieltage!$BL318)</f>
        <v/>
      </c>
      <c r="E24" s="111" t="str">
        <f ca="1">INDIRECT("Spieltage!$J"&amp;Spieltage!$BO318)</f>
        <v/>
      </c>
      <c r="F24" s="111" t="str">
        <f ca="1">INDIRECT("Spieltage!$J"&amp;Spieltage!$BR318)</f>
        <v/>
      </c>
      <c r="G24" s="111" t="str">
        <f ca="1">INDIRECT("Spieltage!$J"&amp;Spieltage!$BU318)</f>
        <v/>
      </c>
      <c r="H24" s="111" t="str">
        <f ca="1">INDIRECT("Spieltage!$J"&amp;Spieltage!$BX318)</f>
        <v/>
      </c>
      <c r="I24" s="111" t="str">
        <f ca="1">INDIRECT("Spieltage!$J"&amp;Spieltage!$CA318)</f>
        <v/>
      </c>
      <c r="J24" s="111" t="str">
        <f ca="1">INDIRECT("Spieltage!$J"&amp;Spieltage!$CD318)</f>
        <v/>
      </c>
      <c r="K24" s="111" t="str">
        <f ca="1">INDIRECT("Spieltage!$J"&amp;Spieltage!$CG318)</f>
        <v/>
      </c>
      <c r="L24" s="111" t="str">
        <f ca="1">INDIRECT("Spieltage!$J"&amp;Spieltage!$CJ318)</f>
        <v/>
      </c>
      <c r="M24" s="111" t="str">
        <f ca="1">INDIRECT("Spieltage!$J"&amp;Spieltage!$CM318)</f>
        <v/>
      </c>
      <c r="N24" s="111" t="str">
        <f ca="1">INDIRECT("Spieltage!$J"&amp;Spieltage!$CP318)</f>
        <v/>
      </c>
      <c r="O24" s="111" t="str">
        <f ca="1">INDIRECT("Spieltage!$J"&amp;Spieltage!$CS318)</f>
        <v/>
      </c>
      <c r="P24" s="111" t="str">
        <f ca="1">INDIRECT("Spieltage!$J"&amp;Spieltage!$CV318)</f>
        <v/>
      </c>
      <c r="Q24" s="111" t="str">
        <f ca="1">INDIRECT("Spieltage!$J"&amp;Spieltage!$CY318)</f>
        <v/>
      </c>
      <c r="R24" s="111" t="str">
        <f ca="1">INDIRECT("Spieltage!$J"&amp;Spieltage!$DB318)</f>
        <v/>
      </c>
      <c r="S24" s="111" t="str">
        <f ca="1">INDIRECT("Spieltage!$J"&amp;Spieltage!$DE318)</f>
        <v/>
      </c>
      <c r="T24" s="112">
        <f t="shared" ca="1" si="0"/>
        <v>0</v>
      </c>
      <c r="U24" s="113">
        <f t="shared" ca="1" si="1"/>
        <v>0</v>
      </c>
      <c r="V24" s="114">
        <f t="shared" ca="1" si="2"/>
        <v>0</v>
      </c>
      <c r="W24" s="115">
        <f>Spieltage!I317</f>
        <v>1</v>
      </c>
      <c r="X24" s="100"/>
      <c r="Y24" s="100"/>
      <c r="Z24" s="100"/>
    </row>
    <row r="25" spans="1:26" x14ac:dyDescent="0.2">
      <c r="A25" s="110" t="s">
        <v>184</v>
      </c>
      <c r="B25" s="111" t="str">
        <f ca="1">INDIRECT("Spieltage!$J"&amp;Spieltage!$BF333)</f>
        <v/>
      </c>
      <c r="C25" s="111" t="str">
        <f ca="1">INDIRECT("Spieltage!$J"&amp;Spieltage!$BI333)</f>
        <v/>
      </c>
      <c r="D25" s="111" t="str">
        <f ca="1">INDIRECT("Spieltage!$J"&amp;Spieltage!$BL333)</f>
        <v/>
      </c>
      <c r="E25" s="111" t="str">
        <f ca="1">INDIRECT("Spieltage!$J"&amp;Spieltage!$BO333)</f>
        <v/>
      </c>
      <c r="F25" s="111" t="str">
        <f ca="1">INDIRECT("Spieltage!$J"&amp;Spieltage!$BR333)</f>
        <v/>
      </c>
      <c r="G25" s="111" t="str">
        <f ca="1">INDIRECT("Spieltage!$J"&amp;Spieltage!$BU333)</f>
        <v/>
      </c>
      <c r="H25" s="111" t="str">
        <f ca="1">INDIRECT("Spieltage!$J"&amp;Spieltage!$BX333)</f>
        <v/>
      </c>
      <c r="I25" s="111" t="str">
        <f ca="1">INDIRECT("Spieltage!$J"&amp;Spieltage!$CA333)</f>
        <v/>
      </c>
      <c r="J25" s="111" t="str">
        <f ca="1">INDIRECT("Spieltage!$J"&amp;Spieltage!$CD333)</f>
        <v/>
      </c>
      <c r="K25" s="111" t="str">
        <f ca="1">INDIRECT("Spieltage!$J"&amp;Spieltage!$CG333)</f>
        <v/>
      </c>
      <c r="L25" s="111" t="str">
        <f ca="1">INDIRECT("Spieltage!$J"&amp;Spieltage!$CJ333)</f>
        <v/>
      </c>
      <c r="M25" s="111" t="str">
        <f ca="1">INDIRECT("Spieltage!$J"&amp;Spieltage!$CM333)</f>
        <v/>
      </c>
      <c r="N25" s="111" t="str">
        <f ca="1">INDIRECT("Spieltage!$J"&amp;Spieltage!$CP333)</f>
        <v/>
      </c>
      <c r="O25" s="111" t="str">
        <f ca="1">INDIRECT("Spieltage!$J"&amp;Spieltage!$CS333)</f>
        <v/>
      </c>
      <c r="P25" s="111" t="str">
        <f ca="1">INDIRECT("Spieltage!$J"&amp;Spieltage!$CV333)</f>
        <v/>
      </c>
      <c r="Q25" s="111" t="str">
        <f ca="1">INDIRECT("Spieltage!$J"&amp;Spieltage!$CY333)</f>
        <v/>
      </c>
      <c r="R25" s="111" t="str">
        <f ca="1">INDIRECT("Spieltage!$J"&amp;Spieltage!$DB333)</f>
        <v/>
      </c>
      <c r="S25" s="111" t="str">
        <f ca="1">INDIRECT("Spieltage!$J"&amp;Spieltage!$DE333)</f>
        <v/>
      </c>
      <c r="T25" s="112">
        <f t="shared" ca="1" si="0"/>
        <v>0</v>
      </c>
      <c r="U25" s="113">
        <f t="shared" ca="1" si="1"/>
        <v>0</v>
      </c>
      <c r="V25" s="114">
        <f t="shared" ca="1" si="2"/>
        <v>0</v>
      </c>
      <c r="W25" s="115">
        <f>Spieltage!I332</f>
        <v>1</v>
      </c>
      <c r="X25" s="100"/>
      <c r="Y25" s="100"/>
      <c r="Z25" s="100"/>
    </row>
    <row r="26" spans="1:26" x14ac:dyDescent="0.2">
      <c r="A26" s="110" t="s">
        <v>185</v>
      </c>
      <c r="B26" s="111" t="str">
        <f ca="1">INDIRECT("Spieltage!$J"&amp;Spieltage!$BF348)</f>
        <v/>
      </c>
      <c r="C26" s="111" t="str">
        <f ca="1">INDIRECT("Spieltage!$J"&amp;Spieltage!$BI348)</f>
        <v/>
      </c>
      <c r="D26" s="111" t="str">
        <f ca="1">INDIRECT("Spieltage!$J"&amp;Spieltage!$BL348)</f>
        <v/>
      </c>
      <c r="E26" s="111" t="str">
        <f ca="1">INDIRECT("Spieltage!$J"&amp;Spieltage!$BO348)</f>
        <v/>
      </c>
      <c r="F26" s="111" t="str">
        <f ca="1">INDIRECT("Spieltage!$J"&amp;Spieltage!$BR348)</f>
        <v/>
      </c>
      <c r="G26" s="111" t="str">
        <f ca="1">INDIRECT("Spieltage!$J"&amp;Spieltage!$BU348)</f>
        <v/>
      </c>
      <c r="H26" s="111" t="str">
        <f ca="1">INDIRECT("Spieltage!$J"&amp;Spieltage!$BX348)</f>
        <v/>
      </c>
      <c r="I26" s="111" t="str">
        <f ca="1">INDIRECT("Spieltage!$J"&amp;Spieltage!$CA348)</f>
        <v/>
      </c>
      <c r="J26" s="111" t="str">
        <f ca="1">INDIRECT("Spieltage!$J"&amp;Spieltage!$CD348)</f>
        <v/>
      </c>
      <c r="K26" s="111" t="str">
        <f ca="1">INDIRECT("Spieltage!$J"&amp;Spieltage!$CG348)</f>
        <v/>
      </c>
      <c r="L26" s="111" t="str">
        <f ca="1">INDIRECT("Spieltage!$J"&amp;Spieltage!$CJ348)</f>
        <v/>
      </c>
      <c r="M26" s="111" t="str">
        <f ca="1">INDIRECT("Spieltage!$J"&amp;Spieltage!$CM348)</f>
        <v/>
      </c>
      <c r="N26" s="111" t="str">
        <f ca="1">INDIRECT("Spieltage!$J"&amp;Spieltage!$CP348)</f>
        <v/>
      </c>
      <c r="O26" s="111" t="str">
        <f ca="1">INDIRECT("Spieltage!$J"&amp;Spieltage!$CS348)</f>
        <v/>
      </c>
      <c r="P26" s="111" t="str">
        <f ca="1">INDIRECT("Spieltage!$J"&amp;Spieltage!$CV348)</f>
        <v/>
      </c>
      <c r="Q26" s="111" t="str">
        <f ca="1">INDIRECT("Spieltage!$J"&amp;Spieltage!$CY348)</f>
        <v/>
      </c>
      <c r="R26" s="111" t="str">
        <f ca="1">INDIRECT("Spieltage!$J"&amp;Spieltage!$DB348)</f>
        <v/>
      </c>
      <c r="S26" s="111" t="str">
        <f ca="1">INDIRECT("Spieltage!$J"&amp;Spieltage!$DE348)</f>
        <v/>
      </c>
      <c r="T26" s="112">
        <f t="shared" ca="1" si="0"/>
        <v>0</v>
      </c>
      <c r="U26" s="113">
        <f t="shared" ca="1" si="1"/>
        <v>0</v>
      </c>
      <c r="V26" s="114">
        <f t="shared" ca="1" si="2"/>
        <v>0</v>
      </c>
      <c r="W26" s="115">
        <f>Spieltage!I347</f>
        <v>1</v>
      </c>
      <c r="X26" s="100"/>
      <c r="Y26" s="100"/>
      <c r="Z26" s="100"/>
    </row>
    <row r="27" spans="1:26" x14ac:dyDescent="0.2">
      <c r="A27" s="110" t="s">
        <v>186</v>
      </c>
      <c r="B27" s="111" t="str">
        <f ca="1">INDIRECT("Spieltage!$J"&amp;Spieltage!$BF363)</f>
        <v/>
      </c>
      <c r="C27" s="111" t="str">
        <f ca="1">INDIRECT("Spieltage!$J"&amp;Spieltage!$BI363)</f>
        <v/>
      </c>
      <c r="D27" s="111" t="str">
        <f ca="1">INDIRECT("Spieltage!$J"&amp;Spieltage!$BL363)</f>
        <v/>
      </c>
      <c r="E27" s="111" t="str">
        <f ca="1">INDIRECT("Spieltage!$J"&amp;Spieltage!$BO363)</f>
        <v/>
      </c>
      <c r="F27" s="111" t="str">
        <f ca="1">INDIRECT("Spieltage!$J"&amp;Spieltage!$BR363)</f>
        <v/>
      </c>
      <c r="G27" s="111" t="str">
        <f ca="1">INDIRECT("Spieltage!$J"&amp;Spieltage!$BU363)</f>
        <v/>
      </c>
      <c r="H27" s="111" t="str">
        <f ca="1">INDIRECT("Spieltage!$J"&amp;Spieltage!$BX363)</f>
        <v/>
      </c>
      <c r="I27" s="111" t="str">
        <f ca="1">INDIRECT("Spieltage!$J"&amp;Spieltage!$CA363)</f>
        <v/>
      </c>
      <c r="J27" s="111" t="str">
        <f ca="1">INDIRECT("Spieltage!$J"&amp;Spieltage!$CD363)</f>
        <v/>
      </c>
      <c r="K27" s="111" t="str">
        <f ca="1">INDIRECT("Spieltage!$J"&amp;Spieltage!$CG363)</f>
        <v/>
      </c>
      <c r="L27" s="111" t="str">
        <f ca="1">INDIRECT("Spieltage!$J"&amp;Spieltage!$CJ363)</f>
        <v/>
      </c>
      <c r="M27" s="111" t="str">
        <f ca="1">INDIRECT("Spieltage!$J"&amp;Spieltage!$CM363)</f>
        <v/>
      </c>
      <c r="N27" s="111" t="str">
        <f ca="1">INDIRECT("Spieltage!$J"&amp;Spieltage!$CP363)</f>
        <v/>
      </c>
      <c r="O27" s="111" t="str">
        <f ca="1">INDIRECT("Spieltage!$J"&amp;Spieltage!$CS363)</f>
        <v/>
      </c>
      <c r="P27" s="111" t="str">
        <f ca="1">INDIRECT("Spieltage!$J"&amp;Spieltage!$CV363)</f>
        <v/>
      </c>
      <c r="Q27" s="111" t="str">
        <f ca="1">INDIRECT("Spieltage!$J"&amp;Spieltage!$CY363)</f>
        <v/>
      </c>
      <c r="R27" s="111" t="str">
        <f ca="1">INDIRECT("Spieltage!$J"&amp;Spieltage!$DB363)</f>
        <v/>
      </c>
      <c r="S27" s="111" t="str">
        <f ca="1">INDIRECT("Spieltage!$J"&amp;Spieltage!$DE363)</f>
        <v/>
      </c>
      <c r="T27" s="112">
        <f t="shared" ca="1" si="0"/>
        <v>0</v>
      </c>
      <c r="U27" s="113">
        <f t="shared" ca="1" si="1"/>
        <v>0</v>
      </c>
      <c r="V27" s="114">
        <f t="shared" ca="1" si="2"/>
        <v>0</v>
      </c>
      <c r="W27" s="115">
        <f>Spieltage!I362</f>
        <v>1</v>
      </c>
      <c r="X27" s="100"/>
      <c r="Y27" s="100"/>
      <c r="Z27" s="100"/>
    </row>
    <row r="28" spans="1:26" x14ac:dyDescent="0.2">
      <c r="A28" s="110" t="s">
        <v>187</v>
      </c>
      <c r="B28" s="111" t="str">
        <f ca="1">INDIRECT("Spieltage!$J"&amp;Spieltage!$BF378)</f>
        <v/>
      </c>
      <c r="C28" s="111" t="str">
        <f ca="1">INDIRECT("Spieltage!$J"&amp;Spieltage!$BI378)</f>
        <v/>
      </c>
      <c r="D28" s="111" t="str">
        <f ca="1">INDIRECT("Spieltage!$J"&amp;Spieltage!$BL378)</f>
        <v/>
      </c>
      <c r="E28" s="111" t="str">
        <f ca="1">INDIRECT("Spieltage!$J"&amp;Spieltage!$BO378)</f>
        <v/>
      </c>
      <c r="F28" s="111" t="str">
        <f ca="1">INDIRECT("Spieltage!$J"&amp;Spieltage!$BR378)</f>
        <v/>
      </c>
      <c r="G28" s="111" t="str">
        <f ca="1">INDIRECT("Spieltage!$J"&amp;Spieltage!$BU378)</f>
        <v/>
      </c>
      <c r="H28" s="111" t="str">
        <f ca="1">INDIRECT("Spieltage!$J"&amp;Spieltage!$BX378)</f>
        <v/>
      </c>
      <c r="I28" s="111" t="str">
        <f ca="1">INDIRECT("Spieltage!$J"&amp;Spieltage!$CA378)</f>
        <v/>
      </c>
      <c r="J28" s="111" t="str">
        <f ca="1">INDIRECT("Spieltage!$J"&amp;Spieltage!$CD378)</f>
        <v/>
      </c>
      <c r="K28" s="111" t="str">
        <f ca="1">INDIRECT("Spieltage!$J"&amp;Spieltage!$CG378)</f>
        <v/>
      </c>
      <c r="L28" s="111" t="str">
        <f ca="1">INDIRECT("Spieltage!$J"&amp;Spieltage!$CJ378)</f>
        <v/>
      </c>
      <c r="M28" s="111" t="str">
        <f ca="1">INDIRECT("Spieltage!$J"&amp;Spieltage!$CM378)</f>
        <v/>
      </c>
      <c r="N28" s="111" t="str">
        <f ca="1">INDIRECT("Spieltage!$J"&amp;Spieltage!$CP378)</f>
        <v/>
      </c>
      <c r="O28" s="111" t="str">
        <f ca="1">INDIRECT("Spieltage!$J"&amp;Spieltage!$CS378)</f>
        <v/>
      </c>
      <c r="P28" s="111" t="str">
        <f ca="1">INDIRECT("Spieltage!$J"&amp;Spieltage!$CV378)</f>
        <v/>
      </c>
      <c r="Q28" s="111" t="str">
        <f ca="1">INDIRECT("Spieltage!$J"&amp;Spieltage!$CY378)</f>
        <v/>
      </c>
      <c r="R28" s="111" t="str">
        <f ca="1">INDIRECT("Spieltage!$J"&amp;Spieltage!$DB378)</f>
        <v/>
      </c>
      <c r="S28" s="111" t="str">
        <f ca="1">INDIRECT("Spieltage!$J"&amp;Spieltage!$DE378)</f>
        <v/>
      </c>
      <c r="T28" s="112">
        <f t="shared" ca="1" si="0"/>
        <v>0</v>
      </c>
      <c r="U28" s="113">
        <f t="shared" ca="1" si="1"/>
        <v>0</v>
      </c>
      <c r="V28" s="114">
        <f t="shared" ca="1" si="2"/>
        <v>0</v>
      </c>
      <c r="W28" s="115">
        <f>Spieltage!I377</f>
        <v>1</v>
      </c>
      <c r="X28" s="100"/>
      <c r="Y28" s="100"/>
      <c r="Z28" s="100"/>
    </row>
    <row r="29" spans="1:26" x14ac:dyDescent="0.2">
      <c r="A29" s="110" t="s">
        <v>188</v>
      </c>
      <c r="B29" s="111" t="str">
        <f ca="1">INDIRECT("Spieltage!$J"&amp;Spieltage!$BF393)</f>
        <v/>
      </c>
      <c r="C29" s="111" t="str">
        <f ca="1">INDIRECT("Spieltage!$J"&amp;Spieltage!$BI393)</f>
        <v/>
      </c>
      <c r="D29" s="111" t="str">
        <f ca="1">INDIRECT("Spieltage!$J"&amp;Spieltage!$BL393)</f>
        <v/>
      </c>
      <c r="E29" s="111" t="str">
        <f ca="1">INDIRECT("Spieltage!$J"&amp;Spieltage!$BO393)</f>
        <v/>
      </c>
      <c r="F29" s="111" t="str">
        <f ca="1">INDIRECT("Spieltage!$J"&amp;Spieltage!$BR393)</f>
        <v/>
      </c>
      <c r="G29" s="111" t="str">
        <f ca="1">INDIRECT("Spieltage!$J"&amp;Spieltage!$BU393)</f>
        <v/>
      </c>
      <c r="H29" s="111" t="str">
        <f ca="1">INDIRECT("Spieltage!$J"&amp;Spieltage!$BX393)</f>
        <v/>
      </c>
      <c r="I29" s="111" t="str">
        <f ca="1">INDIRECT("Spieltage!$J"&amp;Spieltage!$CA393)</f>
        <v/>
      </c>
      <c r="J29" s="111" t="str">
        <f ca="1">INDIRECT("Spieltage!$J"&amp;Spieltage!$CD393)</f>
        <v/>
      </c>
      <c r="K29" s="111" t="str">
        <f ca="1">INDIRECT("Spieltage!$J"&amp;Spieltage!$CG393)</f>
        <v/>
      </c>
      <c r="L29" s="111" t="str">
        <f ca="1">INDIRECT("Spieltage!$J"&amp;Spieltage!$CJ393)</f>
        <v/>
      </c>
      <c r="M29" s="111" t="str">
        <f ca="1">INDIRECT("Spieltage!$J"&amp;Spieltage!$CM393)</f>
        <v/>
      </c>
      <c r="N29" s="111" t="str">
        <f ca="1">INDIRECT("Spieltage!$J"&amp;Spieltage!$CP393)</f>
        <v/>
      </c>
      <c r="O29" s="111" t="str">
        <f ca="1">INDIRECT("Spieltage!$J"&amp;Spieltage!$CS393)</f>
        <v/>
      </c>
      <c r="P29" s="111" t="str">
        <f ca="1">INDIRECT("Spieltage!$J"&amp;Spieltage!$CV393)</f>
        <v/>
      </c>
      <c r="Q29" s="111" t="str">
        <f ca="1">INDIRECT("Spieltage!$J"&amp;Spieltage!$CY393)</f>
        <v/>
      </c>
      <c r="R29" s="111" t="str">
        <f ca="1">INDIRECT("Spieltage!$J"&amp;Spieltage!$DB393)</f>
        <v/>
      </c>
      <c r="S29" s="111" t="str">
        <f ca="1">INDIRECT("Spieltage!$J"&amp;Spieltage!$DE393)</f>
        <v/>
      </c>
      <c r="T29" s="112">
        <f t="shared" ca="1" si="0"/>
        <v>0</v>
      </c>
      <c r="U29" s="113">
        <f t="shared" ca="1" si="1"/>
        <v>0</v>
      </c>
      <c r="V29" s="114">
        <f t="shared" ca="1" si="2"/>
        <v>0</v>
      </c>
      <c r="W29" s="115">
        <f>Spieltage!I392</f>
        <v>1</v>
      </c>
      <c r="X29" s="100"/>
      <c r="Y29" s="100"/>
      <c r="Z29" s="100"/>
    </row>
    <row r="30" spans="1:26" x14ac:dyDescent="0.2">
      <c r="A30" s="110" t="s">
        <v>189</v>
      </c>
      <c r="B30" s="111" t="str">
        <f ca="1">INDIRECT("Spieltage!$J"&amp;Spieltage!$BF408)</f>
        <v/>
      </c>
      <c r="C30" s="111" t="str">
        <f ca="1">INDIRECT("Spieltage!$J"&amp;Spieltage!$BI408)</f>
        <v/>
      </c>
      <c r="D30" s="111" t="str">
        <f ca="1">INDIRECT("Spieltage!$J"&amp;Spieltage!$BL408)</f>
        <v/>
      </c>
      <c r="E30" s="111" t="str">
        <f ca="1">INDIRECT("Spieltage!$J"&amp;Spieltage!$BO408)</f>
        <v/>
      </c>
      <c r="F30" s="111" t="str">
        <f ca="1">INDIRECT("Spieltage!$J"&amp;Spieltage!$BR408)</f>
        <v/>
      </c>
      <c r="G30" s="111" t="str">
        <f ca="1">INDIRECT("Spieltage!$J"&amp;Spieltage!$BU408)</f>
        <v/>
      </c>
      <c r="H30" s="111" t="str">
        <f ca="1">INDIRECT("Spieltage!$J"&amp;Spieltage!$BX408)</f>
        <v/>
      </c>
      <c r="I30" s="111" t="str">
        <f ca="1">INDIRECT("Spieltage!$J"&amp;Spieltage!$CA408)</f>
        <v/>
      </c>
      <c r="J30" s="111" t="str">
        <f ca="1">INDIRECT("Spieltage!$J"&amp;Spieltage!$CD408)</f>
        <v/>
      </c>
      <c r="K30" s="111" t="str">
        <f ca="1">INDIRECT("Spieltage!$J"&amp;Spieltage!$CG408)</f>
        <v/>
      </c>
      <c r="L30" s="111" t="str">
        <f ca="1">INDIRECT("Spieltage!$J"&amp;Spieltage!$CJ408)</f>
        <v/>
      </c>
      <c r="M30" s="111" t="str">
        <f ca="1">INDIRECT("Spieltage!$J"&amp;Spieltage!$CM408)</f>
        <v/>
      </c>
      <c r="N30" s="111" t="str">
        <f ca="1">INDIRECT("Spieltage!$J"&amp;Spieltage!$CP408)</f>
        <v/>
      </c>
      <c r="O30" s="111" t="str">
        <f ca="1">INDIRECT("Spieltage!$J"&amp;Spieltage!$CS408)</f>
        <v/>
      </c>
      <c r="P30" s="111" t="str">
        <f ca="1">INDIRECT("Spieltage!$J"&amp;Spieltage!$CV408)</f>
        <v/>
      </c>
      <c r="Q30" s="111" t="str">
        <f ca="1">INDIRECT("Spieltage!$J"&amp;Spieltage!$CY408)</f>
        <v/>
      </c>
      <c r="R30" s="111" t="str">
        <f ca="1">INDIRECT("Spieltage!$J"&amp;Spieltage!$DB408)</f>
        <v/>
      </c>
      <c r="S30" s="111" t="str">
        <f ca="1">INDIRECT("Spieltage!$J"&amp;Spieltage!$DE408)</f>
        <v/>
      </c>
      <c r="T30" s="112">
        <f t="shared" ca="1" si="0"/>
        <v>0</v>
      </c>
      <c r="U30" s="113">
        <f t="shared" ca="1" si="1"/>
        <v>0</v>
      </c>
      <c r="V30" s="114">
        <f t="shared" ca="1" si="2"/>
        <v>0</v>
      </c>
      <c r="W30" s="115">
        <f>Spieltage!I407</f>
        <v>1</v>
      </c>
      <c r="X30" s="100"/>
      <c r="Y30" s="100"/>
      <c r="Z30" s="100"/>
    </row>
    <row r="31" spans="1:26" x14ac:dyDescent="0.2">
      <c r="A31" s="110" t="s">
        <v>190</v>
      </c>
      <c r="B31" s="111" t="str">
        <f ca="1">INDIRECT("Spieltage!$J"&amp;Spieltage!$BF423)</f>
        <v/>
      </c>
      <c r="C31" s="111" t="str">
        <f ca="1">INDIRECT("Spieltage!$J"&amp;Spieltage!$BI423)</f>
        <v/>
      </c>
      <c r="D31" s="111" t="str">
        <f ca="1">INDIRECT("Spieltage!$J"&amp;Spieltage!$BL423)</f>
        <v/>
      </c>
      <c r="E31" s="111" t="str">
        <f ca="1">INDIRECT("Spieltage!$J"&amp;Spieltage!$BO423)</f>
        <v/>
      </c>
      <c r="F31" s="111" t="str">
        <f ca="1">INDIRECT("Spieltage!$J"&amp;Spieltage!$BR423)</f>
        <v/>
      </c>
      <c r="G31" s="111" t="str">
        <f ca="1">INDIRECT("Spieltage!$J"&amp;Spieltage!$BU423)</f>
        <v/>
      </c>
      <c r="H31" s="111" t="str">
        <f ca="1">INDIRECT("Spieltage!$J"&amp;Spieltage!$BX423)</f>
        <v/>
      </c>
      <c r="I31" s="111" t="str">
        <f ca="1">INDIRECT("Spieltage!$J"&amp;Spieltage!$CA423)</f>
        <v/>
      </c>
      <c r="J31" s="111" t="str">
        <f ca="1">INDIRECT("Spieltage!$J"&amp;Spieltage!$CD423)</f>
        <v/>
      </c>
      <c r="K31" s="111" t="str">
        <f ca="1">INDIRECT("Spieltage!$J"&amp;Spieltage!$CG423)</f>
        <v/>
      </c>
      <c r="L31" s="111" t="str">
        <f ca="1">INDIRECT("Spieltage!$J"&amp;Spieltage!$CJ423)</f>
        <v/>
      </c>
      <c r="M31" s="111" t="str">
        <f ca="1">INDIRECT("Spieltage!$J"&amp;Spieltage!$CM423)</f>
        <v/>
      </c>
      <c r="N31" s="111" t="str">
        <f ca="1">INDIRECT("Spieltage!$J"&amp;Spieltage!$CP423)</f>
        <v/>
      </c>
      <c r="O31" s="111" t="str">
        <f ca="1">INDIRECT("Spieltage!$J"&amp;Spieltage!$CS423)</f>
        <v/>
      </c>
      <c r="P31" s="111" t="str">
        <f ca="1">INDIRECT("Spieltage!$J"&amp;Spieltage!$CV423)</f>
        <v/>
      </c>
      <c r="Q31" s="111" t="str">
        <f ca="1">INDIRECT("Spieltage!$J"&amp;Spieltage!$CY423)</f>
        <v/>
      </c>
      <c r="R31" s="111" t="str">
        <f ca="1">INDIRECT("Spieltage!$J"&amp;Spieltage!$DB423)</f>
        <v/>
      </c>
      <c r="S31" s="111" t="str">
        <f ca="1">INDIRECT("Spieltage!$J"&amp;Spieltage!$DE423)</f>
        <v/>
      </c>
      <c r="T31" s="112">
        <f t="shared" ca="1" si="0"/>
        <v>0</v>
      </c>
      <c r="U31" s="113">
        <f t="shared" ca="1" si="1"/>
        <v>0</v>
      </c>
      <c r="V31" s="114">
        <f t="shared" ca="1" si="2"/>
        <v>0</v>
      </c>
      <c r="W31" s="115">
        <f>Spieltage!I422</f>
        <v>1</v>
      </c>
      <c r="X31" s="100"/>
      <c r="Y31" s="100"/>
      <c r="Z31" s="100"/>
    </row>
    <row r="32" spans="1:26" x14ac:dyDescent="0.2">
      <c r="A32" s="110" t="s">
        <v>191</v>
      </c>
      <c r="B32" s="111" t="str">
        <f ca="1">INDIRECT("Spieltage!$J"&amp;Spieltage!$BF438)</f>
        <v/>
      </c>
      <c r="C32" s="111" t="str">
        <f ca="1">INDIRECT("Spieltage!$J"&amp;Spieltage!$BI438)</f>
        <v/>
      </c>
      <c r="D32" s="111" t="str">
        <f ca="1">INDIRECT("Spieltage!$J"&amp;Spieltage!$BL438)</f>
        <v/>
      </c>
      <c r="E32" s="111" t="str">
        <f ca="1">INDIRECT("Spieltage!$J"&amp;Spieltage!$BO438)</f>
        <v/>
      </c>
      <c r="F32" s="111" t="str">
        <f ca="1">INDIRECT("Spieltage!$J"&amp;Spieltage!$BR438)</f>
        <v/>
      </c>
      <c r="G32" s="111" t="str">
        <f ca="1">INDIRECT("Spieltage!$J"&amp;Spieltage!$BU438)</f>
        <v/>
      </c>
      <c r="H32" s="111" t="str">
        <f ca="1">INDIRECT("Spieltage!$J"&amp;Spieltage!$BX438)</f>
        <v/>
      </c>
      <c r="I32" s="111" t="str">
        <f ca="1">INDIRECT("Spieltage!$J"&amp;Spieltage!$CA438)</f>
        <v/>
      </c>
      <c r="J32" s="111" t="str">
        <f ca="1">INDIRECT("Spieltage!$J"&amp;Spieltage!$CD438)</f>
        <v/>
      </c>
      <c r="K32" s="111" t="str">
        <f ca="1">INDIRECT("Spieltage!$J"&amp;Spieltage!$CG438)</f>
        <v/>
      </c>
      <c r="L32" s="111" t="str">
        <f ca="1">INDIRECT("Spieltage!$J"&amp;Spieltage!$CJ438)</f>
        <v/>
      </c>
      <c r="M32" s="111" t="str">
        <f ca="1">INDIRECT("Spieltage!$J"&amp;Spieltage!$CM438)</f>
        <v/>
      </c>
      <c r="N32" s="111" t="str">
        <f ca="1">INDIRECT("Spieltage!$J"&amp;Spieltage!$CP438)</f>
        <v/>
      </c>
      <c r="O32" s="111" t="str">
        <f ca="1">INDIRECT("Spieltage!$J"&amp;Spieltage!$CS438)</f>
        <v/>
      </c>
      <c r="P32" s="111" t="str">
        <f ca="1">INDIRECT("Spieltage!$J"&amp;Spieltage!$CV438)</f>
        <v/>
      </c>
      <c r="Q32" s="111" t="str">
        <f ca="1">INDIRECT("Spieltage!$J"&amp;Spieltage!$CY438)</f>
        <v/>
      </c>
      <c r="R32" s="111" t="str">
        <f ca="1">INDIRECT("Spieltage!$J"&amp;Spieltage!$DB438)</f>
        <v/>
      </c>
      <c r="S32" s="111" t="str">
        <f ca="1">INDIRECT("Spieltage!$J"&amp;Spieltage!$DE438)</f>
        <v/>
      </c>
      <c r="T32" s="112">
        <f t="shared" ca="1" si="0"/>
        <v>0</v>
      </c>
      <c r="U32" s="113">
        <f t="shared" ca="1" si="1"/>
        <v>0</v>
      </c>
      <c r="V32" s="114">
        <f t="shared" ca="1" si="2"/>
        <v>0</v>
      </c>
      <c r="W32" s="115">
        <f>Spieltage!I437</f>
        <v>1</v>
      </c>
      <c r="X32" s="100"/>
      <c r="Y32" s="100"/>
      <c r="Z32" s="100"/>
    </row>
    <row r="33" spans="1:28" x14ac:dyDescent="0.2">
      <c r="A33" s="110" t="s">
        <v>192</v>
      </c>
      <c r="B33" s="111" t="str">
        <f ca="1">INDIRECT("Spieltage!$J"&amp;Spieltage!$BF453)</f>
        <v/>
      </c>
      <c r="C33" s="111" t="str">
        <f ca="1">INDIRECT("Spieltage!$J"&amp;Spieltage!$BI453)</f>
        <v/>
      </c>
      <c r="D33" s="111" t="str">
        <f ca="1">INDIRECT("Spieltage!$J"&amp;Spieltage!$BL453)</f>
        <v/>
      </c>
      <c r="E33" s="111" t="str">
        <f ca="1">INDIRECT("Spieltage!$J"&amp;Spieltage!$BO453)</f>
        <v/>
      </c>
      <c r="F33" s="111" t="str">
        <f ca="1">INDIRECT("Spieltage!$J"&amp;Spieltage!$BR453)</f>
        <v/>
      </c>
      <c r="G33" s="111" t="str">
        <f ca="1">INDIRECT("Spieltage!$J"&amp;Spieltage!$BU453)</f>
        <v/>
      </c>
      <c r="H33" s="111" t="str">
        <f ca="1">INDIRECT("Spieltage!$J"&amp;Spieltage!$BX453)</f>
        <v/>
      </c>
      <c r="I33" s="111" t="str">
        <f ca="1">INDIRECT("Spieltage!$J"&amp;Spieltage!$CA453)</f>
        <v/>
      </c>
      <c r="J33" s="111" t="str">
        <f ca="1">INDIRECT("Spieltage!$J"&amp;Spieltage!$CD453)</f>
        <v/>
      </c>
      <c r="K33" s="111" t="str">
        <f ca="1">INDIRECT("Spieltage!$J"&amp;Spieltage!$CG453)</f>
        <v/>
      </c>
      <c r="L33" s="111" t="str">
        <f ca="1">INDIRECT("Spieltage!$J"&amp;Spieltage!$CJ453)</f>
        <v/>
      </c>
      <c r="M33" s="111" t="str">
        <f ca="1">INDIRECT("Spieltage!$J"&amp;Spieltage!$CM453)</f>
        <v/>
      </c>
      <c r="N33" s="111" t="str">
        <f ca="1">INDIRECT("Spieltage!$J"&amp;Spieltage!$CP453)</f>
        <v/>
      </c>
      <c r="O33" s="111" t="str">
        <f ca="1">INDIRECT("Spieltage!$J"&amp;Spieltage!$CS453)</f>
        <v/>
      </c>
      <c r="P33" s="111" t="str">
        <f ca="1">INDIRECT("Spieltage!$J"&amp;Spieltage!$CV453)</f>
        <v/>
      </c>
      <c r="Q33" s="111" t="str">
        <f ca="1">INDIRECT("Spieltage!$J"&amp;Spieltage!$CY453)</f>
        <v/>
      </c>
      <c r="R33" s="111" t="str">
        <f ca="1">INDIRECT("Spieltage!$J"&amp;Spieltage!$DB453)</f>
        <v/>
      </c>
      <c r="S33" s="111" t="str">
        <f ca="1">INDIRECT("Spieltage!$J"&amp;Spieltage!$DE453)</f>
        <v/>
      </c>
      <c r="T33" s="112">
        <f t="shared" ca="1" si="0"/>
        <v>0</v>
      </c>
      <c r="U33" s="113">
        <f t="shared" ca="1" si="1"/>
        <v>0</v>
      </c>
      <c r="V33" s="114">
        <f t="shared" ca="1" si="2"/>
        <v>0</v>
      </c>
      <c r="W33" s="115">
        <f>Spieltage!I452</f>
        <v>1</v>
      </c>
      <c r="X33" s="100"/>
      <c r="Y33" s="100"/>
      <c r="Z33" s="100"/>
    </row>
    <row r="34" spans="1:28" x14ac:dyDescent="0.2">
      <c r="A34" s="110" t="s">
        <v>193</v>
      </c>
      <c r="B34" s="111" t="str">
        <f ca="1">INDIRECT("Spieltage!$J"&amp;Spieltage!$BF468)</f>
        <v/>
      </c>
      <c r="C34" s="111" t="str">
        <f ca="1">INDIRECT("Spieltage!$J"&amp;Spieltage!$BI468)</f>
        <v/>
      </c>
      <c r="D34" s="111" t="str">
        <f ca="1">INDIRECT("Spieltage!$J"&amp;Spieltage!$BL468)</f>
        <v/>
      </c>
      <c r="E34" s="111" t="str">
        <f ca="1">INDIRECT("Spieltage!$J"&amp;Spieltage!$BO468)</f>
        <v/>
      </c>
      <c r="F34" s="111" t="str">
        <f ca="1">INDIRECT("Spieltage!$J"&amp;Spieltage!$BR468)</f>
        <v/>
      </c>
      <c r="G34" s="111" t="str">
        <f ca="1">INDIRECT("Spieltage!$J"&amp;Spieltage!$BU468)</f>
        <v/>
      </c>
      <c r="H34" s="111" t="str">
        <f ca="1">INDIRECT("Spieltage!$J"&amp;Spieltage!$BX468)</f>
        <v/>
      </c>
      <c r="I34" s="111" t="str">
        <f ca="1">INDIRECT("Spieltage!$J"&amp;Spieltage!$CA468)</f>
        <v/>
      </c>
      <c r="J34" s="111" t="str">
        <f ca="1">INDIRECT("Spieltage!$J"&amp;Spieltage!$CD468)</f>
        <v/>
      </c>
      <c r="K34" s="111" t="str">
        <f ca="1">INDIRECT("Spieltage!$J"&amp;Spieltage!$CG468)</f>
        <v/>
      </c>
      <c r="L34" s="111" t="str">
        <f ca="1">INDIRECT("Spieltage!$J"&amp;Spieltage!$CJ468)</f>
        <v/>
      </c>
      <c r="M34" s="111" t="str">
        <f ca="1">INDIRECT("Spieltage!$J"&amp;Spieltage!$CM468)</f>
        <v/>
      </c>
      <c r="N34" s="111" t="str">
        <f ca="1">INDIRECT("Spieltage!$J"&amp;Spieltage!$CP468)</f>
        <v/>
      </c>
      <c r="O34" s="111" t="str">
        <f ca="1">INDIRECT("Spieltage!$J"&amp;Spieltage!$CS468)</f>
        <v/>
      </c>
      <c r="P34" s="111" t="str">
        <f ca="1">INDIRECT("Spieltage!$J"&amp;Spieltage!$CV468)</f>
        <v/>
      </c>
      <c r="Q34" s="111" t="str">
        <f ca="1">INDIRECT("Spieltage!$J"&amp;Spieltage!$CY468)</f>
        <v/>
      </c>
      <c r="R34" s="111" t="str">
        <f ca="1">INDIRECT("Spieltage!$J"&amp;Spieltage!$DB468)</f>
        <v/>
      </c>
      <c r="S34" s="111" t="str">
        <f ca="1">INDIRECT("Spieltage!$J"&amp;Spieltage!$DE468)</f>
        <v/>
      </c>
      <c r="T34" s="112">
        <f t="shared" ca="1" si="0"/>
        <v>0</v>
      </c>
      <c r="U34" s="113">
        <f t="shared" ca="1" si="1"/>
        <v>0</v>
      </c>
      <c r="V34" s="114">
        <f t="shared" ca="1" si="2"/>
        <v>0</v>
      </c>
      <c r="W34" s="115">
        <f>Spieltage!I467</f>
        <v>1</v>
      </c>
      <c r="X34" s="100"/>
      <c r="Y34" s="100"/>
      <c r="Z34" s="100"/>
    </row>
    <row r="35" spans="1:28" x14ac:dyDescent="0.2">
      <c r="A35" s="110" t="s">
        <v>194</v>
      </c>
      <c r="B35" s="111" t="str">
        <f ca="1">INDIRECT("Spieltage!$J"&amp;Spieltage!$BF483)</f>
        <v/>
      </c>
      <c r="C35" s="111" t="str">
        <f ca="1">INDIRECT("Spieltage!$J"&amp;Spieltage!$BI483)</f>
        <v/>
      </c>
      <c r="D35" s="111" t="str">
        <f ca="1">INDIRECT("Spieltage!$J"&amp;Spieltage!$BL483)</f>
        <v/>
      </c>
      <c r="E35" s="111" t="str">
        <f ca="1">INDIRECT("Spieltage!$J"&amp;Spieltage!$BO483)</f>
        <v/>
      </c>
      <c r="F35" s="111" t="str">
        <f ca="1">INDIRECT("Spieltage!$J"&amp;Spieltage!$BR483)</f>
        <v/>
      </c>
      <c r="G35" s="111" t="str">
        <f ca="1">INDIRECT("Spieltage!$J"&amp;Spieltage!$BU483)</f>
        <v/>
      </c>
      <c r="H35" s="111" t="str">
        <f ca="1">INDIRECT("Spieltage!$J"&amp;Spieltage!$BX483)</f>
        <v/>
      </c>
      <c r="I35" s="111" t="str">
        <f ca="1">INDIRECT("Spieltage!$J"&amp;Spieltage!$CA483)</f>
        <v/>
      </c>
      <c r="J35" s="111" t="str">
        <f ca="1">INDIRECT("Spieltage!$J"&amp;Spieltage!$CD483)</f>
        <v/>
      </c>
      <c r="K35" s="111" t="str">
        <f ca="1">INDIRECT("Spieltage!$J"&amp;Spieltage!$CG483)</f>
        <v/>
      </c>
      <c r="L35" s="111" t="str">
        <f ca="1">INDIRECT("Spieltage!$J"&amp;Spieltage!$CJ483)</f>
        <v/>
      </c>
      <c r="M35" s="111" t="str">
        <f ca="1">INDIRECT("Spieltage!$J"&amp;Spieltage!$CM483)</f>
        <v/>
      </c>
      <c r="N35" s="111" t="str">
        <f ca="1">INDIRECT("Spieltage!$J"&amp;Spieltage!$CP483)</f>
        <v/>
      </c>
      <c r="O35" s="111" t="str">
        <f ca="1">INDIRECT("Spieltage!$J"&amp;Spieltage!$CS483)</f>
        <v/>
      </c>
      <c r="P35" s="111" t="str">
        <f ca="1">INDIRECT("Spieltage!$J"&amp;Spieltage!$CV483)</f>
        <v/>
      </c>
      <c r="Q35" s="111" t="str">
        <f ca="1">INDIRECT("Spieltage!$J"&amp;Spieltage!$CY483)</f>
        <v/>
      </c>
      <c r="R35" s="111" t="str">
        <f ca="1">INDIRECT("Spieltage!$J"&amp;Spieltage!$DB483)</f>
        <v/>
      </c>
      <c r="S35" s="111" t="str">
        <f ca="1">INDIRECT("Spieltage!$J"&amp;Spieltage!$DE483)</f>
        <v/>
      </c>
      <c r="T35" s="112">
        <f t="shared" ca="1" si="0"/>
        <v>0</v>
      </c>
      <c r="U35" s="113">
        <f t="shared" ca="1" si="1"/>
        <v>0</v>
      </c>
      <c r="V35" s="114">
        <f t="shared" ca="1" si="2"/>
        <v>0</v>
      </c>
      <c r="W35" s="115">
        <f>Spieltage!I482</f>
        <v>1</v>
      </c>
      <c r="X35" s="100"/>
      <c r="Y35" s="100"/>
      <c r="Z35" s="100"/>
    </row>
    <row r="36" spans="1:28" x14ac:dyDescent="0.2">
      <c r="A36" s="117" t="s">
        <v>195</v>
      </c>
      <c r="B36" s="111" t="str">
        <f ca="1">INDIRECT("Spieltage!$J"&amp;Spieltage!$BF498)</f>
        <v/>
      </c>
      <c r="C36" s="111" t="str">
        <f ca="1">INDIRECT("Spieltage!$J"&amp;Spieltage!$BI498)</f>
        <v/>
      </c>
      <c r="D36" s="111" t="str">
        <f ca="1">INDIRECT("Spieltage!$J"&amp;Spieltage!$BL498)</f>
        <v/>
      </c>
      <c r="E36" s="111" t="str">
        <f ca="1">INDIRECT("Spieltage!$J"&amp;Spieltage!$BO498)</f>
        <v/>
      </c>
      <c r="F36" s="111" t="str">
        <f ca="1">INDIRECT("Spieltage!$J"&amp;Spieltage!$BR498)</f>
        <v/>
      </c>
      <c r="G36" s="111" t="str">
        <f ca="1">INDIRECT("Spieltage!$J"&amp;Spieltage!$BU498)</f>
        <v/>
      </c>
      <c r="H36" s="111" t="str">
        <f ca="1">INDIRECT("Spieltage!$J"&amp;Spieltage!$BX498)</f>
        <v/>
      </c>
      <c r="I36" s="111" t="str">
        <f ca="1">INDIRECT("Spieltage!$J"&amp;Spieltage!$CA498)</f>
        <v/>
      </c>
      <c r="J36" s="111" t="str">
        <f ca="1">INDIRECT("Spieltage!$J"&amp;Spieltage!$CD498)</f>
        <v/>
      </c>
      <c r="K36" s="111" t="str">
        <f ca="1">INDIRECT("Spieltage!$J"&amp;Spieltage!$CG498)</f>
        <v/>
      </c>
      <c r="L36" s="111" t="str">
        <f ca="1">INDIRECT("Spieltage!$J"&amp;Spieltage!$CJ498)</f>
        <v/>
      </c>
      <c r="M36" s="111" t="str">
        <f ca="1">INDIRECT("Spieltage!$J"&amp;Spieltage!$CM498)</f>
        <v/>
      </c>
      <c r="N36" s="111" t="str">
        <f ca="1">INDIRECT("Spieltage!$J"&amp;Spieltage!$CP498)</f>
        <v/>
      </c>
      <c r="O36" s="111" t="str">
        <f ca="1">INDIRECT("Spieltage!$J"&amp;Spieltage!$CS498)</f>
        <v/>
      </c>
      <c r="P36" s="111" t="str">
        <f ca="1">INDIRECT("Spieltage!$J"&amp;Spieltage!$CV498)</f>
        <v/>
      </c>
      <c r="Q36" s="111" t="str">
        <f ca="1">INDIRECT("Spieltage!$J"&amp;Spieltage!$CY498)</f>
        <v/>
      </c>
      <c r="R36" s="111" t="str">
        <f ca="1">INDIRECT("Spieltage!$J"&amp;Spieltage!$DB498)</f>
        <v/>
      </c>
      <c r="S36" s="111" t="str">
        <f ca="1">INDIRECT("Spieltage!$J"&amp;Spieltage!$DE498)</f>
        <v/>
      </c>
      <c r="T36" s="112">
        <f t="shared" ca="1" si="0"/>
        <v>0</v>
      </c>
      <c r="U36" s="113">
        <f t="shared" ca="1" si="1"/>
        <v>0</v>
      </c>
      <c r="V36" s="114">
        <f t="shared" ca="1" si="2"/>
        <v>0</v>
      </c>
      <c r="W36" s="115">
        <f>Spieltage!I497</f>
        <v>1</v>
      </c>
      <c r="X36" s="100"/>
      <c r="Y36" s="100"/>
      <c r="Z36" s="100"/>
    </row>
    <row r="37" spans="1:28" x14ac:dyDescent="0.2">
      <c r="A37" s="118" t="s">
        <v>206</v>
      </c>
      <c r="B37" s="111">
        <f t="shared" ref="B37:S37" ca="1" si="4">COUNTIF(B3:B36,"&gt;=1")</f>
        <v>0</v>
      </c>
      <c r="C37" s="111">
        <f t="shared" ca="1" si="4"/>
        <v>0</v>
      </c>
      <c r="D37" s="119">
        <f t="shared" ca="1" si="4"/>
        <v>0</v>
      </c>
      <c r="E37" s="119">
        <f t="shared" ca="1" si="4"/>
        <v>0</v>
      </c>
      <c r="F37" s="119">
        <f t="shared" ca="1" si="4"/>
        <v>0</v>
      </c>
      <c r="G37" s="119">
        <f t="shared" ca="1" si="4"/>
        <v>0</v>
      </c>
      <c r="H37" s="119">
        <f t="shared" ca="1" si="4"/>
        <v>0</v>
      </c>
      <c r="I37" s="119">
        <f t="shared" ca="1" si="4"/>
        <v>0</v>
      </c>
      <c r="J37" s="119">
        <f t="shared" ca="1" si="4"/>
        <v>0</v>
      </c>
      <c r="K37" s="119">
        <f t="shared" ca="1" si="4"/>
        <v>0</v>
      </c>
      <c r="L37" s="119">
        <f t="shared" ca="1" si="4"/>
        <v>0</v>
      </c>
      <c r="M37" s="119">
        <f t="shared" ca="1" si="4"/>
        <v>0</v>
      </c>
      <c r="N37" s="119">
        <f t="shared" ca="1" si="4"/>
        <v>0</v>
      </c>
      <c r="O37" s="119">
        <f t="shared" ca="1" si="4"/>
        <v>0</v>
      </c>
      <c r="P37" s="119">
        <f t="shared" ca="1" si="4"/>
        <v>0</v>
      </c>
      <c r="Q37" s="119">
        <f t="shared" ca="1" si="4"/>
        <v>0</v>
      </c>
      <c r="R37" s="119">
        <f t="shared" ca="1" si="4"/>
        <v>0</v>
      </c>
      <c r="S37" s="120">
        <f t="shared" ca="1" si="4"/>
        <v>0</v>
      </c>
      <c r="T37" s="107">
        <f ca="1">SUM(T3:T36)</f>
        <v>0</v>
      </c>
      <c r="U37" s="107"/>
      <c r="V37" s="100"/>
      <c r="W37" s="100"/>
      <c r="X37" s="100"/>
      <c r="Y37" s="100"/>
      <c r="Z37" s="100"/>
    </row>
    <row r="38" spans="1:28" x14ac:dyDescent="0.2">
      <c r="A38" s="121" t="s">
        <v>207</v>
      </c>
      <c r="B38" s="111">
        <f t="shared" ref="B38:S38" ca="1" si="5">SUM(B3:B36)</f>
        <v>0</v>
      </c>
      <c r="C38" s="111">
        <f t="shared" ca="1" si="5"/>
        <v>0</v>
      </c>
      <c r="D38" s="122">
        <f t="shared" ca="1" si="5"/>
        <v>0</v>
      </c>
      <c r="E38" s="122">
        <f t="shared" ca="1" si="5"/>
        <v>0</v>
      </c>
      <c r="F38" s="122">
        <f t="shared" ca="1" si="5"/>
        <v>0</v>
      </c>
      <c r="G38" s="122">
        <f t="shared" ca="1" si="5"/>
        <v>0</v>
      </c>
      <c r="H38" s="122">
        <f t="shared" ca="1" si="5"/>
        <v>0</v>
      </c>
      <c r="I38" s="122">
        <f t="shared" ca="1" si="5"/>
        <v>0</v>
      </c>
      <c r="J38" s="122">
        <f t="shared" ca="1" si="5"/>
        <v>0</v>
      </c>
      <c r="K38" s="122">
        <f t="shared" ca="1" si="5"/>
        <v>0</v>
      </c>
      <c r="L38" s="122">
        <f t="shared" ca="1" si="5"/>
        <v>0</v>
      </c>
      <c r="M38" s="122">
        <f t="shared" ca="1" si="5"/>
        <v>0</v>
      </c>
      <c r="N38" s="122">
        <f t="shared" ca="1" si="5"/>
        <v>0</v>
      </c>
      <c r="O38" s="122">
        <f t="shared" ca="1" si="5"/>
        <v>0</v>
      </c>
      <c r="P38" s="122">
        <f t="shared" ca="1" si="5"/>
        <v>0</v>
      </c>
      <c r="Q38" s="122">
        <f t="shared" ca="1" si="5"/>
        <v>0</v>
      </c>
      <c r="R38" s="122">
        <f t="shared" ca="1" si="5"/>
        <v>0</v>
      </c>
      <c r="S38" s="123">
        <f t="shared" ca="1" si="5"/>
        <v>0</v>
      </c>
      <c r="T38" s="100"/>
      <c r="U38" s="107">
        <f ca="1">(SUM(B38:S38))/2</f>
        <v>0</v>
      </c>
      <c r="V38" s="107"/>
      <c r="W38" s="107"/>
      <c r="X38" s="100"/>
      <c r="Y38" s="100"/>
      <c r="Z38" s="100"/>
    </row>
    <row r="39" spans="1:28" x14ac:dyDescent="0.2">
      <c r="A39" s="124"/>
      <c r="B39" s="125" t="e">
        <f t="shared" ref="B39:S39" ca="1" si="6">B38/B37</f>
        <v>#DIV/0!</v>
      </c>
      <c r="C39" s="119" t="e">
        <f t="shared" ca="1" si="6"/>
        <v>#DIV/0!</v>
      </c>
      <c r="D39" s="126" t="e">
        <f t="shared" ca="1" si="6"/>
        <v>#DIV/0!</v>
      </c>
      <c r="E39" s="126" t="e">
        <f t="shared" ca="1" si="6"/>
        <v>#DIV/0!</v>
      </c>
      <c r="F39" s="126" t="e">
        <f t="shared" ca="1" si="6"/>
        <v>#DIV/0!</v>
      </c>
      <c r="G39" s="126" t="e">
        <f t="shared" ca="1" si="6"/>
        <v>#DIV/0!</v>
      </c>
      <c r="H39" s="126" t="e">
        <f t="shared" ca="1" si="6"/>
        <v>#DIV/0!</v>
      </c>
      <c r="I39" s="126" t="e">
        <f t="shared" ca="1" si="6"/>
        <v>#DIV/0!</v>
      </c>
      <c r="J39" s="126" t="e">
        <f t="shared" ca="1" si="6"/>
        <v>#DIV/0!</v>
      </c>
      <c r="K39" s="126" t="e">
        <f t="shared" ca="1" si="6"/>
        <v>#DIV/0!</v>
      </c>
      <c r="L39" s="126" t="e">
        <f t="shared" ca="1" si="6"/>
        <v>#DIV/0!</v>
      </c>
      <c r="M39" s="126" t="e">
        <f t="shared" ca="1" si="6"/>
        <v>#DIV/0!</v>
      </c>
      <c r="N39" s="126" t="e">
        <f t="shared" ca="1" si="6"/>
        <v>#DIV/0!</v>
      </c>
      <c r="O39" s="126" t="e">
        <f t="shared" ca="1" si="6"/>
        <v>#DIV/0!</v>
      </c>
      <c r="P39" s="126" t="e">
        <f t="shared" ca="1" si="6"/>
        <v>#DIV/0!</v>
      </c>
      <c r="Q39" s="126" t="e">
        <f t="shared" ca="1" si="6"/>
        <v>#DIV/0!</v>
      </c>
      <c r="R39" s="126" t="e">
        <f t="shared" ca="1" si="6"/>
        <v>#DIV/0!</v>
      </c>
      <c r="S39" s="126" t="e">
        <f t="shared" ca="1" si="6"/>
        <v>#DIV/0!</v>
      </c>
      <c r="T39" s="100"/>
      <c r="U39" s="127"/>
      <c r="V39" s="107">
        <f ca="1">SUM(V3:V36)</f>
        <v>0</v>
      </c>
      <c r="W39" s="107"/>
      <c r="X39" s="100"/>
      <c r="Y39" s="100"/>
      <c r="Z39" s="100"/>
      <c r="AA39" s="128" t="e">
        <f ca="1">MAX(B39:S39)</f>
        <v>#DIV/0!</v>
      </c>
      <c r="AB39" s="128" t="e">
        <f ca="1">MIN(B39:S39)</f>
        <v>#DIV/0!</v>
      </c>
    </row>
    <row r="40" spans="1:28" x14ac:dyDescent="0.2">
      <c r="B40" s="122"/>
      <c r="C40" s="122"/>
    </row>
    <row r="41" spans="1:28" x14ac:dyDescent="0.2">
      <c r="B41" s="126">
        <f t="shared" ref="B41:S41" ca="1" si="7">COUNTIF(B3:B36,"&gt;=0")</f>
        <v>0</v>
      </c>
      <c r="C41" s="126">
        <f t="shared" ca="1" si="7"/>
        <v>0</v>
      </c>
      <c r="D41" s="5">
        <f t="shared" ca="1" si="7"/>
        <v>0</v>
      </c>
      <c r="E41" s="5">
        <f t="shared" ca="1" si="7"/>
        <v>0</v>
      </c>
      <c r="F41" s="5">
        <f t="shared" ca="1" si="7"/>
        <v>0</v>
      </c>
      <c r="G41" s="5">
        <f t="shared" ca="1" si="7"/>
        <v>0</v>
      </c>
      <c r="H41" s="5">
        <f t="shared" ca="1" si="7"/>
        <v>0</v>
      </c>
      <c r="I41" s="5">
        <f t="shared" ca="1" si="7"/>
        <v>0</v>
      </c>
      <c r="J41" s="5">
        <f t="shared" ca="1" si="7"/>
        <v>0</v>
      </c>
      <c r="K41" s="5">
        <f t="shared" ca="1" si="7"/>
        <v>0</v>
      </c>
      <c r="L41" s="5">
        <f t="shared" ca="1" si="7"/>
        <v>0</v>
      </c>
      <c r="M41" s="5">
        <f t="shared" ca="1" si="7"/>
        <v>0</v>
      </c>
      <c r="N41" s="5">
        <f t="shared" ca="1" si="7"/>
        <v>0</v>
      </c>
      <c r="O41" s="5">
        <f t="shared" ca="1" si="7"/>
        <v>0</v>
      </c>
      <c r="P41" s="5">
        <f t="shared" ca="1" si="7"/>
        <v>0</v>
      </c>
      <c r="Q41" s="5">
        <f t="shared" ca="1" si="7"/>
        <v>0</v>
      </c>
      <c r="R41" s="5">
        <f t="shared" ca="1" si="7"/>
        <v>0</v>
      </c>
      <c r="S41" s="5">
        <f t="shared" ca="1" si="7"/>
        <v>0</v>
      </c>
    </row>
    <row r="43" spans="1:28" x14ac:dyDescent="0.2">
      <c r="A43" s="105" t="s">
        <v>199</v>
      </c>
    </row>
    <row r="44" spans="1:28" x14ac:dyDescent="0.2">
      <c r="A44" s="105" t="s">
        <v>200</v>
      </c>
    </row>
    <row r="45" spans="1:28" x14ac:dyDescent="0.2">
      <c r="A45" s="105" t="s">
        <v>53</v>
      </c>
    </row>
  </sheetData>
  <conditionalFormatting sqref="B39:S39">
    <cfRule type="cellIs" dxfId="80" priority="2" operator="equal">
      <formula>$AA$39</formula>
    </cfRule>
    <cfRule type="cellIs" dxfId="79" priority="3" operator="equal">
      <formula>$AB$39</formula>
    </cfRule>
  </conditionalFormatting>
  <conditionalFormatting sqref="B3:S36">
    <cfRule type="cellIs" dxfId="78" priority="4" operator="equal">
      <formula>8</formula>
    </cfRule>
    <cfRule type="cellIs" dxfId="77" priority="5" operator="equal">
      <formula>7</formula>
    </cfRule>
    <cfRule type="cellIs" dxfId="76" priority="6" operator="equal">
      <formula>0</formula>
    </cfRule>
  </conditionalFormatting>
  <printOptions horizontalCentered="1" verticalCentered="1"/>
  <pageMargins left="0" right="0" top="0" bottom="0" header="0.511811023622047" footer="0.511811023622047"/>
  <pageSetup paperSize="9"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0000"/>
  </sheetPr>
  <dimension ref="A1:ME116"/>
  <sheetViews>
    <sheetView zoomScaleNormal="100" workbookViewId="0"/>
  </sheetViews>
  <sheetFormatPr baseColWidth="10" defaultColWidth="3.7109375" defaultRowHeight="12.75" x14ac:dyDescent="0.2"/>
  <cols>
    <col min="6" max="6" width="3.7109375" style="35"/>
    <col min="7" max="7" width="3.7109375" style="97"/>
    <col min="26" max="26" width="3.7109375" style="97"/>
    <col min="45" max="45" width="3.7109375" style="97"/>
    <col min="64" max="64" width="3.7109375" style="97"/>
    <col min="83" max="83" width="3.7109375" style="97"/>
    <col min="102" max="102" width="3.7109375" style="97"/>
    <col min="121" max="121" width="3.7109375" style="97"/>
    <col min="140" max="140" width="3.7109375" style="97"/>
    <col min="159" max="159" width="3.7109375" style="97"/>
  </cols>
  <sheetData>
    <row r="1" spans="1:343" x14ac:dyDescent="0.2">
      <c r="A1" t="s">
        <v>208</v>
      </c>
      <c r="B1" t="str">
        <f>Spieltage!I1</f>
        <v>Kropp</v>
      </c>
      <c r="T1" s="6"/>
      <c r="AM1" s="6"/>
      <c r="BF1" s="6"/>
      <c r="BY1" s="6"/>
      <c r="CR1" s="6"/>
      <c r="DK1" s="6"/>
      <c r="ED1" s="6"/>
      <c r="EW1" s="6"/>
    </row>
    <row r="2" spans="1:343" x14ac:dyDescent="0.2">
      <c r="B2" s="21" t="str">
        <f>Mannschaften!$C1</f>
        <v>Bayern</v>
      </c>
      <c r="J2" s="142" t="s">
        <v>209</v>
      </c>
      <c r="K2" s="142"/>
      <c r="L2" s="142"/>
      <c r="M2" s="142"/>
      <c r="N2" s="142"/>
      <c r="O2" s="142"/>
      <c r="Q2" s="140" t="s">
        <v>210</v>
      </c>
      <c r="R2" s="140"/>
      <c r="S2" s="140"/>
      <c r="T2" s="140"/>
      <c r="U2" s="21" t="str">
        <f>Mannschaften!$C2</f>
        <v>Leipzig</v>
      </c>
      <c r="AC2" s="142" t="s">
        <v>209</v>
      </c>
      <c r="AD2" s="142"/>
      <c r="AE2" s="142"/>
      <c r="AF2" s="142"/>
      <c r="AG2" s="142"/>
      <c r="AH2" s="142"/>
      <c r="AJ2" s="140" t="s">
        <v>210</v>
      </c>
      <c r="AK2" s="140"/>
      <c r="AL2" s="140"/>
      <c r="AM2" s="140"/>
      <c r="AN2" s="21" t="str">
        <f>Mannschaften!$C3</f>
        <v>Leverk.</v>
      </c>
      <c r="AV2" s="142" t="s">
        <v>209</v>
      </c>
      <c r="AW2" s="142"/>
      <c r="AX2" s="142"/>
      <c r="AY2" s="142"/>
      <c r="AZ2" s="142"/>
      <c r="BA2" s="142"/>
      <c r="BC2" s="140" t="s">
        <v>210</v>
      </c>
      <c r="BD2" s="140"/>
      <c r="BE2" s="140"/>
      <c r="BF2" s="140"/>
      <c r="BG2" s="21" t="str">
        <f>Mannschaften!$C4</f>
        <v>Hoffenheim</v>
      </c>
      <c r="BO2" s="142" t="s">
        <v>209</v>
      </c>
      <c r="BP2" s="142"/>
      <c r="BQ2" s="142"/>
      <c r="BR2" s="142"/>
      <c r="BS2" s="142"/>
      <c r="BT2" s="142"/>
      <c r="BV2" s="140" t="s">
        <v>210</v>
      </c>
      <c r="BW2" s="140"/>
      <c r="BX2" s="140"/>
      <c r="BY2" s="140"/>
      <c r="BZ2" s="21" t="str">
        <f>Mannschaften!$C5</f>
        <v>Frankfurt</v>
      </c>
      <c r="CH2" s="142" t="s">
        <v>209</v>
      </c>
      <c r="CI2" s="142"/>
      <c r="CJ2" s="142"/>
      <c r="CK2" s="142"/>
      <c r="CL2" s="142"/>
      <c r="CM2" s="142"/>
      <c r="CO2" s="140" t="s">
        <v>210</v>
      </c>
      <c r="CP2" s="140"/>
      <c r="CQ2" s="140"/>
      <c r="CR2" s="140"/>
      <c r="CS2" s="21" t="str">
        <f>Mannschaften!$C6</f>
        <v>Werder</v>
      </c>
      <c r="DA2" s="142" t="s">
        <v>209</v>
      </c>
      <c r="DB2" s="142"/>
      <c r="DC2" s="142"/>
      <c r="DD2" s="142"/>
      <c r="DE2" s="142"/>
      <c r="DF2" s="142"/>
      <c r="DH2" s="140" t="s">
        <v>210</v>
      </c>
      <c r="DI2" s="140"/>
      <c r="DJ2" s="140"/>
      <c r="DK2" s="140"/>
      <c r="DL2" s="21" t="str">
        <f>Mannschaften!$C7</f>
        <v>Freiburg</v>
      </c>
      <c r="DT2" s="142" t="s">
        <v>209</v>
      </c>
      <c r="DU2" s="142"/>
      <c r="DV2" s="142"/>
      <c r="DW2" s="142"/>
      <c r="DX2" s="142"/>
      <c r="DY2" s="142"/>
      <c r="EA2" s="140" t="s">
        <v>210</v>
      </c>
      <c r="EB2" s="140"/>
      <c r="EC2" s="140"/>
      <c r="ED2" s="140"/>
      <c r="EE2" s="21" t="str">
        <f>Mannschaften!$C8</f>
        <v>Augsburg</v>
      </c>
      <c r="EM2" s="142" t="s">
        <v>209</v>
      </c>
      <c r="EN2" s="142"/>
      <c r="EO2" s="142"/>
      <c r="EP2" s="142"/>
      <c r="EQ2" s="142"/>
      <c r="ER2" s="142"/>
      <c r="ET2" s="140" t="s">
        <v>210</v>
      </c>
      <c r="EU2" s="140"/>
      <c r="EV2" s="140"/>
      <c r="EW2" s="140"/>
      <c r="EX2" s="21" t="str">
        <f>Mannschaften!$C9</f>
        <v>Mainz</v>
      </c>
      <c r="FF2" s="142" t="s">
        <v>209</v>
      </c>
      <c r="FG2" s="142"/>
      <c r="FH2" s="142"/>
      <c r="FI2" s="142"/>
      <c r="FJ2" s="142"/>
      <c r="FK2" s="142"/>
      <c r="FM2" s="140" t="s">
        <v>210</v>
      </c>
      <c r="FN2" s="140"/>
      <c r="FO2" s="140"/>
      <c r="FP2" s="140"/>
      <c r="FQ2" s="21" t="str">
        <f>Mannschaften!$C10</f>
        <v>Köln</v>
      </c>
      <c r="FU2" s="35"/>
      <c r="FV2" s="97"/>
      <c r="FY2" s="142" t="s">
        <v>209</v>
      </c>
      <c r="FZ2" s="142"/>
      <c r="GA2" s="142"/>
      <c r="GB2" s="142"/>
      <c r="GC2" s="142"/>
      <c r="GD2" s="142"/>
      <c r="GF2" s="140" t="s">
        <v>210</v>
      </c>
      <c r="GG2" s="140"/>
      <c r="GH2" s="140"/>
      <c r="GI2" s="140"/>
      <c r="GJ2" s="21" t="str">
        <f>Mannschaften!$C11</f>
        <v>M'gladb.</v>
      </c>
      <c r="GO2" s="97"/>
      <c r="GR2" s="142" t="s">
        <v>209</v>
      </c>
      <c r="GS2" s="142"/>
      <c r="GT2" s="142"/>
      <c r="GU2" s="142"/>
      <c r="GV2" s="142"/>
      <c r="GW2" s="142"/>
      <c r="GY2" s="140" t="s">
        <v>210</v>
      </c>
      <c r="GZ2" s="140"/>
      <c r="HA2" s="140"/>
      <c r="HB2" s="140"/>
      <c r="HC2" s="21" t="str">
        <f>Mannschaften!$C12</f>
        <v>HSV</v>
      </c>
      <c r="HH2" s="97"/>
      <c r="HK2" s="142" t="s">
        <v>209</v>
      </c>
      <c r="HL2" s="142"/>
      <c r="HM2" s="142"/>
      <c r="HN2" s="142"/>
      <c r="HO2" s="142"/>
      <c r="HP2" s="142"/>
      <c r="HR2" s="140" t="s">
        <v>210</v>
      </c>
      <c r="HS2" s="140"/>
      <c r="HT2" s="140"/>
      <c r="HU2" s="140"/>
      <c r="HV2" s="21" t="str">
        <f>Mannschaften!$C13</f>
        <v>Union</v>
      </c>
      <c r="IA2" s="97"/>
      <c r="ID2" s="142" t="s">
        <v>209</v>
      </c>
      <c r="IE2" s="142"/>
      <c r="IF2" s="142"/>
      <c r="IG2" s="142"/>
      <c r="IH2" s="142"/>
      <c r="II2" s="142"/>
      <c r="IK2" s="140" t="s">
        <v>210</v>
      </c>
      <c r="IL2" s="140"/>
      <c r="IM2" s="140"/>
      <c r="IN2" s="140"/>
      <c r="IO2" s="21" t="str">
        <f>Mannschaften!$C14</f>
        <v>Stuttgart</v>
      </c>
      <c r="IT2" s="97"/>
      <c r="IW2" s="142" t="s">
        <v>209</v>
      </c>
      <c r="IX2" s="142"/>
      <c r="IY2" s="142"/>
      <c r="IZ2" s="142"/>
      <c r="JA2" s="142"/>
      <c r="JB2" s="142"/>
      <c r="JD2" s="140" t="s">
        <v>210</v>
      </c>
      <c r="JE2" s="140"/>
      <c r="JF2" s="140"/>
      <c r="JG2" s="140"/>
      <c r="JH2" s="21" t="str">
        <f>Mannschaften!$C15</f>
        <v>St. Pauli</v>
      </c>
      <c r="JM2" s="97"/>
      <c r="JP2" s="142" t="s">
        <v>209</v>
      </c>
      <c r="JQ2" s="142"/>
      <c r="JR2" s="142"/>
      <c r="JS2" s="142"/>
      <c r="JT2" s="142"/>
      <c r="JU2" s="142"/>
      <c r="JW2" s="140" t="s">
        <v>210</v>
      </c>
      <c r="JX2" s="140"/>
      <c r="JY2" s="140"/>
      <c r="JZ2" s="140"/>
      <c r="KA2" s="21" t="str">
        <f>Mannschaften!$C16</f>
        <v>Dortmund</v>
      </c>
      <c r="KF2" s="97"/>
      <c r="KI2" s="142" t="s">
        <v>209</v>
      </c>
      <c r="KJ2" s="142"/>
      <c r="KK2" s="142"/>
      <c r="KL2" s="142"/>
      <c r="KM2" s="142"/>
      <c r="KN2" s="142"/>
      <c r="KP2" s="140" t="s">
        <v>210</v>
      </c>
      <c r="KQ2" s="140"/>
      <c r="KR2" s="140"/>
      <c r="KS2" s="140"/>
      <c r="KT2" s="21" t="str">
        <f>Mannschaften!$C17</f>
        <v>Heidenheim</v>
      </c>
      <c r="KY2" s="97"/>
      <c r="LB2" s="142" t="s">
        <v>209</v>
      </c>
      <c r="LC2" s="142"/>
      <c r="LD2" s="142"/>
      <c r="LE2" s="142"/>
      <c r="LF2" s="142"/>
      <c r="LG2" s="142"/>
      <c r="LI2" s="140" t="s">
        <v>210</v>
      </c>
      <c r="LJ2" s="140"/>
      <c r="LK2" s="140"/>
      <c r="LL2" s="140"/>
      <c r="LM2" s="21" t="str">
        <f>Mannschaften!$C18</f>
        <v>Wolfsburg</v>
      </c>
      <c r="LR2" s="97"/>
      <c r="LU2" s="142" t="s">
        <v>209</v>
      </c>
      <c r="LV2" s="142"/>
      <c r="LW2" s="142"/>
      <c r="LX2" s="142"/>
      <c r="LY2" s="142"/>
      <c r="LZ2" s="142"/>
      <c r="MB2" s="140" t="s">
        <v>210</v>
      </c>
      <c r="MC2" s="140"/>
      <c r="MD2" s="140"/>
      <c r="ME2" s="140"/>
    </row>
    <row r="3" spans="1:343" x14ac:dyDescent="0.2">
      <c r="A3" t="s">
        <v>26</v>
      </c>
      <c r="B3" t="s">
        <v>211</v>
      </c>
      <c r="C3" t="s">
        <v>212</v>
      </c>
      <c r="D3" t="s">
        <v>213</v>
      </c>
      <c r="E3" s="142" t="s">
        <v>214</v>
      </c>
      <c r="F3" s="142"/>
      <c r="G3" s="142"/>
      <c r="J3" t="s">
        <v>215</v>
      </c>
      <c r="K3" t="s">
        <v>216</v>
      </c>
      <c r="L3" t="s">
        <v>217</v>
      </c>
      <c r="M3" t="s">
        <v>218</v>
      </c>
      <c r="N3" t="s">
        <v>219</v>
      </c>
      <c r="O3" t="s">
        <v>220</v>
      </c>
      <c r="P3" t="s">
        <v>201</v>
      </c>
      <c r="Q3" t="s">
        <v>215</v>
      </c>
      <c r="R3" t="s">
        <v>216</v>
      </c>
      <c r="S3" t="s">
        <v>218</v>
      </c>
      <c r="T3" s="6" t="s">
        <v>219</v>
      </c>
      <c r="U3" t="s">
        <v>211</v>
      </c>
      <c r="V3" t="s">
        <v>212</v>
      </c>
      <c r="W3" t="s">
        <v>213</v>
      </c>
      <c r="X3" s="142" t="s">
        <v>214</v>
      </c>
      <c r="Y3" s="142"/>
      <c r="Z3" s="142"/>
      <c r="AC3" t="s">
        <v>215</v>
      </c>
      <c r="AD3" t="s">
        <v>216</v>
      </c>
      <c r="AE3" t="s">
        <v>217</v>
      </c>
      <c r="AF3" t="s">
        <v>218</v>
      </c>
      <c r="AG3" t="s">
        <v>219</v>
      </c>
      <c r="AH3" t="s">
        <v>220</v>
      </c>
      <c r="AI3" t="s">
        <v>201</v>
      </c>
      <c r="AJ3" t="s">
        <v>215</v>
      </c>
      <c r="AK3" t="s">
        <v>216</v>
      </c>
      <c r="AL3" t="s">
        <v>218</v>
      </c>
      <c r="AM3" s="6" t="s">
        <v>219</v>
      </c>
      <c r="AN3" t="s">
        <v>211</v>
      </c>
      <c r="AO3" t="s">
        <v>212</v>
      </c>
      <c r="AP3" t="s">
        <v>213</v>
      </c>
      <c r="AQ3" s="142" t="s">
        <v>214</v>
      </c>
      <c r="AR3" s="142"/>
      <c r="AS3" s="142"/>
      <c r="AV3" t="s">
        <v>215</v>
      </c>
      <c r="AW3" t="s">
        <v>216</v>
      </c>
      <c r="AX3" t="s">
        <v>217</v>
      </c>
      <c r="AY3" t="s">
        <v>218</v>
      </c>
      <c r="AZ3" t="s">
        <v>219</v>
      </c>
      <c r="BA3" t="s">
        <v>220</v>
      </c>
      <c r="BB3" t="s">
        <v>201</v>
      </c>
      <c r="BC3" t="s">
        <v>215</v>
      </c>
      <c r="BD3" t="s">
        <v>216</v>
      </c>
      <c r="BE3" t="s">
        <v>218</v>
      </c>
      <c r="BF3" s="6" t="s">
        <v>219</v>
      </c>
      <c r="BG3" t="s">
        <v>211</v>
      </c>
      <c r="BH3" t="s">
        <v>212</v>
      </c>
      <c r="BI3" t="s">
        <v>213</v>
      </c>
      <c r="BJ3" s="142" t="s">
        <v>214</v>
      </c>
      <c r="BK3" s="142"/>
      <c r="BL3" s="142"/>
      <c r="BO3" t="s">
        <v>215</v>
      </c>
      <c r="BP3" t="s">
        <v>216</v>
      </c>
      <c r="BQ3" t="s">
        <v>217</v>
      </c>
      <c r="BR3" t="s">
        <v>218</v>
      </c>
      <c r="BS3" t="s">
        <v>219</v>
      </c>
      <c r="BT3" t="s">
        <v>220</v>
      </c>
      <c r="BU3" t="s">
        <v>201</v>
      </c>
      <c r="BV3" t="s">
        <v>215</v>
      </c>
      <c r="BW3" t="s">
        <v>216</v>
      </c>
      <c r="BX3" t="s">
        <v>218</v>
      </c>
      <c r="BY3" s="6" t="s">
        <v>219</v>
      </c>
      <c r="BZ3" t="s">
        <v>211</v>
      </c>
      <c r="CA3" t="s">
        <v>212</v>
      </c>
      <c r="CB3" t="s">
        <v>213</v>
      </c>
      <c r="CC3" s="142" t="s">
        <v>214</v>
      </c>
      <c r="CD3" s="142"/>
      <c r="CE3" s="142"/>
      <c r="CH3" t="s">
        <v>215</v>
      </c>
      <c r="CI3" t="s">
        <v>216</v>
      </c>
      <c r="CJ3" t="s">
        <v>217</v>
      </c>
      <c r="CK3" t="s">
        <v>218</v>
      </c>
      <c r="CL3" t="s">
        <v>219</v>
      </c>
      <c r="CM3" t="s">
        <v>220</v>
      </c>
      <c r="CN3" t="s">
        <v>201</v>
      </c>
      <c r="CO3" t="s">
        <v>215</v>
      </c>
      <c r="CP3" t="s">
        <v>216</v>
      </c>
      <c r="CQ3" t="s">
        <v>218</v>
      </c>
      <c r="CR3" s="6" t="s">
        <v>219</v>
      </c>
      <c r="CS3" t="s">
        <v>211</v>
      </c>
      <c r="CT3" t="s">
        <v>212</v>
      </c>
      <c r="CU3" t="s">
        <v>213</v>
      </c>
      <c r="CV3" s="142" t="s">
        <v>214</v>
      </c>
      <c r="CW3" s="142"/>
      <c r="CX3" s="142"/>
      <c r="DA3" t="s">
        <v>215</v>
      </c>
      <c r="DB3" t="s">
        <v>216</v>
      </c>
      <c r="DC3" t="s">
        <v>217</v>
      </c>
      <c r="DD3" t="s">
        <v>218</v>
      </c>
      <c r="DE3" t="s">
        <v>219</v>
      </c>
      <c r="DF3" t="s">
        <v>220</v>
      </c>
      <c r="DG3" t="s">
        <v>201</v>
      </c>
      <c r="DH3" t="s">
        <v>215</v>
      </c>
      <c r="DI3" t="s">
        <v>216</v>
      </c>
      <c r="DJ3" t="s">
        <v>218</v>
      </c>
      <c r="DK3" s="6" t="s">
        <v>219</v>
      </c>
      <c r="DL3" t="s">
        <v>211</v>
      </c>
      <c r="DM3" t="s">
        <v>212</v>
      </c>
      <c r="DN3" t="s">
        <v>213</v>
      </c>
      <c r="DO3" s="142" t="s">
        <v>214</v>
      </c>
      <c r="DP3" s="142"/>
      <c r="DQ3" s="142"/>
      <c r="DT3" t="s">
        <v>215</v>
      </c>
      <c r="DU3" t="s">
        <v>216</v>
      </c>
      <c r="DV3" t="s">
        <v>217</v>
      </c>
      <c r="DW3" t="s">
        <v>218</v>
      </c>
      <c r="DX3" t="s">
        <v>219</v>
      </c>
      <c r="DY3" t="s">
        <v>220</v>
      </c>
      <c r="DZ3" t="s">
        <v>201</v>
      </c>
      <c r="EA3" t="s">
        <v>215</v>
      </c>
      <c r="EB3" t="s">
        <v>216</v>
      </c>
      <c r="EC3" t="s">
        <v>218</v>
      </c>
      <c r="ED3" s="6" t="s">
        <v>219</v>
      </c>
      <c r="EE3" t="s">
        <v>211</v>
      </c>
      <c r="EF3" t="s">
        <v>212</v>
      </c>
      <c r="EG3" t="s">
        <v>213</v>
      </c>
      <c r="EH3" s="142" t="s">
        <v>214</v>
      </c>
      <c r="EI3" s="142"/>
      <c r="EJ3" s="142"/>
      <c r="EM3" t="s">
        <v>215</v>
      </c>
      <c r="EN3" t="s">
        <v>216</v>
      </c>
      <c r="EO3" t="s">
        <v>217</v>
      </c>
      <c r="EP3" t="s">
        <v>218</v>
      </c>
      <c r="EQ3" t="s">
        <v>219</v>
      </c>
      <c r="ER3" t="s">
        <v>220</v>
      </c>
      <c r="ES3" t="s">
        <v>201</v>
      </c>
      <c r="ET3" t="s">
        <v>215</v>
      </c>
      <c r="EU3" t="s">
        <v>216</v>
      </c>
      <c r="EV3" t="s">
        <v>218</v>
      </c>
      <c r="EW3" s="6" t="s">
        <v>219</v>
      </c>
      <c r="EX3" t="s">
        <v>211</v>
      </c>
      <c r="EY3" t="s">
        <v>212</v>
      </c>
      <c r="EZ3" t="s">
        <v>213</v>
      </c>
      <c r="FA3" s="142" t="s">
        <v>214</v>
      </c>
      <c r="FB3" s="142"/>
      <c r="FC3" s="142"/>
      <c r="FF3" t="s">
        <v>215</v>
      </c>
      <c r="FG3" t="s">
        <v>216</v>
      </c>
      <c r="FH3" t="s">
        <v>217</v>
      </c>
      <c r="FI3" t="s">
        <v>218</v>
      </c>
      <c r="FJ3" t="s">
        <v>219</v>
      </c>
      <c r="FK3" t="s">
        <v>220</v>
      </c>
      <c r="FL3" t="s">
        <v>201</v>
      </c>
      <c r="FM3" t="s">
        <v>215</v>
      </c>
      <c r="FN3" t="s">
        <v>216</v>
      </c>
      <c r="FO3" t="s">
        <v>218</v>
      </c>
      <c r="FP3" s="6" t="s">
        <v>219</v>
      </c>
      <c r="FQ3" t="s">
        <v>211</v>
      </c>
      <c r="FR3" t="s">
        <v>212</v>
      </c>
      <c r="FS3" t="s">
        <v>213</v>
      </c>
      <c r="FT3" s="142" t="s">
        <v>214</v>
      </c>
      <c r="FU3" s="142"/>
      <c r="FV3" s="142"/>
      <c r="FY3" t="s">
        <v>215</v>
      </c>
      <c r="FZ3" t="s">
        <v>216</v>
      </c>
      <c r="GA3" t="s">
        <v>217</v>
      </c>
      <c r="GB3" t="s">
        <v>218</v>
      </c>
      <c r="GC3" t="s">
        <v>219</v>
      </c>
      <c r="GD3" t="s">
        <v>220</v>
      </c>
      <c r="GE3" t="s">
        <v>201</v>
      </c>
      <c r="GF3" t="s">
        <v>215</v>
      </c>
      <c r="GG3" t="s">
        <v>216</v>
      </c>
      <c r="GH3" t="s">
        <v>218</v>
      </c>
      <c r="GI3" s="6" t="s">
        <v>219</v>
      </c>
      <c r="GJ3" t="s">
        <v>211</v>
      </c>
      <c r="GK3" t="s">
        <v>212</v>
      </c>
      <c r="GL3" t="s">
        <v>213</v>
      </c>
      <c r="GM3" s="142" t="s">
        <v>214</v>
      </c>
      <c r="GN3" s="142"/>
      <c r="GO3" s="142"/>
      <c r="GR3" t="s">
        <v>215</v>
      </c>
      <c r="GS3" t="s">
        <v>216</v>
      </c>
      <c r="GT3" t="s">
        <v>217</v>
      </c>
      <c r="GU3" t="s">
        <v>218</v>
      </c>
      <c r="GV3" t="s">
        <v>219</v>
      </c>
      <c r="GW3" t="s">
        <v>220</v>
      </c>
      <c r="GX3" t="s">
        <v>201</v>
      </c>
      <c r="GY3" t="s">
        <v>215</v>
      </c>
      <c r="GZ3" t="s">
        <v>216</v>
      </c>
      <c r="HA3" t="s">
        <v>218</v>
      </c>
      <c r="HB3" s="6" t="s">
        <v>219</v>
      </c>
      <c r="HC3" t="s">
        <v>211</v>
      </c>
      <c r="HD3" t="s">
        <v>212</v>
      </c>
      <c r="HE3" t="s">
        <v>213</v>
      </c>
      <c r="HF3" s="142" t="s">
        <v>214</v>
      </c>
      <c r="HG3" s="142"/>
      <c r="HH3" s="142"/>
      <c r="HK3" t="s">
        <v>215</v>
      </c>
      <c r="HL3" t="s">
        <v>216</v>
      </c>
      <c r="HM3" t="s">
        <v>217</v>
      </c>
      <c r="HN3" t="s">
        <v>218</v>
      </c>
      <c r="HO3" t="s">
        <v>219</v>
      </c>
      <c r="HP3" t="s">
        <v>220</v>
      </c>
      <c r="HQ3" t="s">
        <v>201</v>
      </c>
      <c r="HR3" t="s">
        <v>215</v>
      </c>
      <c r="HS3" t="s">
        <v>216</v>
      </c>
      <c r="HT3" t="s">
        <v>218</v>
      </c>
      <c r="HU3" s="6" t="s">
        <v>219</v>
      </c>
      <c r="HV3" t="s">
        <v>211</v>
      </c>
      <c r="HW3" t="s">
        <v>212</v>
      </c>
      <c r="HX3" t="s">
        <v>213</v>
      </c>
      <c r="HY3" s="142" t="s">
        <v>214</v>
      </c>
      <c r="HZ3" s="142"/>
      <c r="IA3" s="142"/>
      <c r="ID3" t="s">
        <v>215</v>
      </c>
      <c r="IE3" t="s">
        <v>216</v>
      </c>
      <c r="IF3" t="s">
        <v>217</v>
      </c>
      <c r="IG3" t="s">
        <v>218</v>
      </c>
      <c r="IH3" t="s">
        <v>219</v>
      </c>
      <c r="II3" t="s">
        <v>220</v>
      </c>
      <c r="IJ3" t="s">
        <v>201</v>
      </c>
      <c r="IK3" t="s">
        <v>215</v>
      </c>
      <c r="IL3" t="s">
        <v>216</v>
      </c>
      <c r="IM3" t="s">
        <v>218</v>
      </c>
      <c r="IN3" s="6" t="s">
        <v>219</v>
      </c>
      <c r="IO3" t="s">
        <v>211</v>
      </c>
      <c r="IP3" t="s">
        <v>212</v>
      </c>
      <c r="IQ3" t="s">
        <v>213</v>
      </c>
      <c r="IR3" s="142" t="s">
        <v>214</v>
      </c>
      <c r="IS3" s="142"/>
      <c r="IT3" s="142"/>
      <c r="IW3" t="s">
        <v>215</v>
      </c>
      <c r="IX3" t="s">
        <v>216</v>
      </c>
      <c r="IY3" t="s">
        <v>217</v>
      </c>
      <c r="IZ3" t="s">
        <v>218</v>
      </c>
      <c r="JA3" t="s">
        <v>219</v>
      </c>
      <c r="JB3" t="s">
        <v>220</v>
      </c>
      <c r="JC3" t="s">
        <v>201</v>
      </c>
      <c r="JD3" t="s">
        <v>215</v>
      </c>
      <c r="JE3" t="s">
        <v>216</v>
      </c>
      <c r="JF3" t="s">
        <v>218</v>
      </c>
      <c r="JG3" s="6" t="s">
        <v>219</v>
      </c>
      <c r="JH3" t="s">
        <v>211</v>
      </c>
      <c r="JI3" t="s">
        <v>212</v>
      </c>
      <c r="JJ3" t="s">
        <v>213</v>
      </c>
      <c r="JK3" s="142" t="s">
        <v>214</v>
      </c>
      <c r="JL3" s="142"/>
      <c r="JM3" s="142"/>
      <c r="JP3" t="s">
        <v>215</v>
      </c>
      <c r="JQ3" t="s">
        <v>216</v>
      </c>
      <c r="JR3" t="s">
        <v>217</v>
      </c>
      <c r="JS3" t="s">
        <v>218</v>
      </c>
      <c r="JT3" t="s">
        <v>219</v>
      </c>
      <c r="JU3" t="s">
        <v>220</v>
      </c>
      <c r="JV3" t="s">
        <v>201</v>
      </c>
      <c r="JW3" t="s">
        <v>215</v>
      </c>
      <c r="JX3" t="s">
        <v>216</v>
      </c>
      <c r="JY3" t="s">
        <v>218</v>
      </c>
      <c r="JZ3" s="6" t="s">
        <v>219</v>
      </c>
      <c r="KA3" t="s">
        <v>211</v>
      </c>
      <c r="KB3" t="s">
        <v>212</v>
      </c>
      <c r="KC3" t="s">
        <v>213</v>
      </c>
      <c r="KD3" s="142" t="s">
        <v>214</v>
      </c>
      <c r="KE3" s="142"/>
      <c r="KF3" s="142"/>
      <c r="KI3" t="s">
        <v>215</v>
      </c>
      <c r="KJ3" t="s">
        <v>216</v>
      </c>
      <c r="KK3" t="s">
        <v>217</v>
      </c>
      <c r="KL3" t="s">
        <v>218</v>
      </c>
      <c r="KM3" t="s">
        <v>219</v>
      </c>
      <c r="KN3" t="s">
        <v>220</v>
      </c>
      <c r="KO3" t="s">
        <v>201</v>
      </c>
      <c r="KP3" t="s">
        <v>215</v>
      </c>
      <c r="KQ3" t="s">
        <v>216</v>
      </c>
      <c r="KR3" t="s">
        <v>218</v>
      </c>
      <c r="KS3" s="6" t="s">
        <v>219</v>
      </c>
      <c r="KT3" t="s">
        <v>211</v>
      </c>
      <c r="KU3" t="s">
        <v>212</v>
      </c>
      <c r="KV3" t="s">
        <v>213</v>
      </c>
      <c r="KW3" s="142" t="s">
        <v>214</v>
      </c>
      <c r="KX3" s="142"/>
      <c r="KY3" s="142"/>
      <c r="LB3" t="s">
        <v>215</v>
      </c>
      <c r="LC3" t="s">
        <v>216</v>
      </c>
      <c r="LD3" t="s">
        <v>217</v>
      </c>
      <c r="LE3" t="s">
        <v>218</v>
      </c>
      <c r="LF3" t="s">
        <v>219</v>
      </c>
      <c r="LG3" t="s">
        <v>220</v>
      </c>
      <c r="LH3" t="s">
        <v>201</v>
      </c>
      <c r="LI3" t="s">
        <v>215</v>
      </c>
      <c r="LJ3" t="s">
        <v>216</v>
      </c>
      <c r="LK3" t="s">
        <v>218</v>
      </c>
      <c r="LL3" s="6" t="s">
        <v>219</v>
      </c>
      <c r="LM3" t="s">
        <v>211</v>
      </c>
      <c r="LN3" t="s">
        <v>212</v>
      </c>
      <c r="LO3" t="s">
        <v>213</v>
      </c>
      <c r="LP3" s="142" t="s">
        <v>214</v>
      </c>
      <c r="LQ3" s="142"/>
      <c r="LR3" s="142"/>
      <c r="LU3" t="s">
        <v>215</v>
      </c>
      <c r="LV3" t="s">
        <v>216</v>
      </c>
      <c r="LW3" t="s">
        <v>217</v>
      </c>
      <c r="LX3" t="s">
        <v>218</v>
      </c>
      <c r="LY3" t="s">
        <v>219</v>
      </c>
      <c r="LZ3" t="s">
        <v>220</v>
      </c>
      <c r="MA3" t="s">
        <v>201</v>
      </c>
      <c r="MB3" t="s">
        <v>215</v>
      </c>
      <c r="MC3" t="s">
        <v>216</v>
      </c>
      <c r="MD3" t="s">
        <v>218</v>
      </c>
      <c r="ME3" s="6" t="s">
        <v>219</v>
      </c>
    </row>
    <row r="4" spans="1:343" x14ac:dyDescent="0.2">
      <c r="A4" s="104" t="s">
        <v>153</v>
      </c>
      <c r="B4">
        <f>MATCH(B$2,Spieltage!$C$3:$C$11,0)+2</f>
        <v>3</v>
      </c>
      <c r="C4" t="e">
        <f>MATCH(B$2,Spieltage!$E$3:$E$11,0)+2</f>
        <v>#N/A</v>
      </c>
      <c r="D4">
        <f t="shared" ref="D4:D37" si="0">IF(ISNUMBER(B4),B4,C4)</f>
        <v>3</v>
      </c>
      <c r="E4">
        <f ca="1">INDIRECT("Spieltage!$F"&amp;'i2'!D4)</f>
        <v>0</v>
      </c>
      <c r="F4" s="35" t="s">
        <v>12</v>
      </c>
      <c r="G4" s="97">
        <f ca="1">INDIRECT("Spieltage!$H"&amp;'i2'!D4)</f>
        <v>0</v>
      </c>
      <c r="H4" t="str">
        <f t="shared" ref="H4:H37" si="1">IF(ISNUMBER(B4),"H","A")</f>
        <v>H</v>
      </c>
      <c r="I4">
        <f t="shared" ref="I4:I37" si="2">IF(H4="h",1,2)</f>
        <v>1</v>
      </c>
      <c r="J4" t="b">
        <f t="shared" ref="J4:J37" ca="1" si="3">IF(AND(I4=1),(E4&gt;G4),)</f>
        <v>0</v>
      </c>
      <c r="K4" t="b">
        <f t="shared" ref="K4:K37" ca="1" si="4">IF(AND(I4=1),(E4=G4),)</f>
        <v>1</v>
      </c>
      <c r="L4" t="b">
        <f t="shared" ref="L4:L37" ca="1" si="5">IF(AND(I4=1),(E4&lt;G4),)</f>
        <v>0</v>
      </c>
      <c r="M4">
        <f t="shared" ref="M4:M37" si="6">IF(AND(I4=2),(E4&lt;G4),)</f>
        <v>0</v>
      </c>
      <c r="N4">
        <f t="shared" ref="N4:N37" si="7">IF(AND(I4=2),(E4=G4),)</f>
        <v>0</v>
      </c>
      <c r="O4">
        <f t="shared" ref="O4:O37" si="8">IF(AND(I4=2),(E4&gt;G4),)</f>
        <v>0</v>
      </c>
      <c r="P4">
        <f t="shared" ref="P4:P37" ca="1" si="9">INDIRECT("Spieltage!$I"&amp;D4)</f>
        <v>0</v>
      </c>
      <c r="Q4">
        <f t="shared" ref="Q4:Q37" ca="1" si="10">IF(I4=1,IF(AND(P4=1),3,0))</f>
        <v>0</v>
      </c>
      <c r="R4">
        <f t="shared" ref="R4:R37" ca="1" si="11">IF(I4=1,IF(AND(P4=0),1,0))</f>
        <v>1</v>
      </c>
      <c r="S4" t="b">
        <f t="shared" ref="S4:S37" si="12">IF(I4=2,IF(AND(P4=2),3,0))</f>
        <v>0</v>
      </c>
      <c r="T4" s="6" t="b">
        <f t="shared" ref="T4:T37" si="13">IF(I4=2,IF(AND(P4=0),1,0))</f>
        <v>0</v>
      </c>
      <c r="U4" t="e">
        <f>MATCH(U$2,Spieltage!$C$3:$C$11,0)+2</f>
        <v>#N/A</v>
      </c>
      <c r="V4">
        <f>MATCH(U$2,Spieltage!$E$3:$E$11,0)+2</f>
        <v>3</v>
      </c>
      <c r="W4">
        <f t="shared" ref="W4:W37" si="14">IF(ISNUMBER(U4),U4,V4)</f>
        <v>3</v>
      </c>
      <c r="X4">
        <f ca="1">INDIRECT("Spieltage!$F"&amp;'i2'!W4)</f>
        <v>0</v>
      </c>
      <c r="Y4" s="35" t="s">
        <v>12</v>
      </c>
      <c r="Z4" s="97">
        <f ca="1">INDIRECT("Spieltage!$H"&amp;'i2'!W4)</f>
        <v>0</v>
      </c>
      <c r="AA4" t="str">
        <f t="shared" ref="AA4:AA37" si="15">IF(ISNUMBER(U4),"H","A")</f>
        <v>A</v>
      </c>
      <c r="AB4">
        <f t="shared" ref="AB4:AB37" si="16">IF(AA4="h",1,2)</f>
        <v>2</v>
      </c>
      <c r="AC4">
        <f t="shared" ref="AC4:AC37" si="17">IF(AND(AB4=1),(X4&gt;Z4),)</f>
        <v>0</v>
      </c>
      <c r="AD4">
        <f t="shared" ref="AD4:AD37" si="18">IF(AND(AB4=1),(X4=Z4),)</f>
        <v>0</v>
      </c>
      <c r="AE4">
        <f t="shared" ref="AE4:AE37" si="19">IF(AND(AB4=1),(X4&lt;Z4),)</f>
        <v>0</v>
      </c>
      <c r="AF4" t="b">
        <f t="shared" ref="AF4:AF37" ca="1" si="20">IF(AND(AB4=2),(X4&lt;Z4),)</f>
        <v>0</v>
      </c>
      <c r="AG4" t="b">
        <f t="shared" ref="AG4:AG37" ca="1" si="21">IF(AND(AB4=2),(X4=Z4),)</f>
        <v>1</v>
      </c>
      <c r="AH4" t="b">
        <f t="shared" ref="AH4:AH37" ca="1" si="22">IF(AND(AB4=2),(X4&gt;Z4),)</f>
        <v>0</v>
      </c>
      <c r="AI4">
        <f t="shared" ref="AI4:AI37" ca="1" si="23">INDIRECT("Spieltage!$I"&amp;W4)</f>
        <v>0</v>
      </c>
      <c r="AJ4" t="b">
        <f t="shared" ref="AJ4:AJ37" si="24">IF(AB4=1,IF(AND(AI4=1),3,0))</f>
        <v>0</v>
      </c>
      <c r="AK4" t="b">
        <f t="shared" ref="AK4:AK37" si="25">IF(AB4=1,IF(AND(AI4=0),1,0))</f>
        <v>0</v>
      </c>
      <c r="AL4">
        <f t="shared" ref="AL4:AL37" ca="1" si="26">IF(AB4=2,IF(AND(AI4=2),3,0))</f>
        <v>0</v>
      </c>
      <c r="AM4" s="6">
        <f t="shared" ref="AM4:AM37" ca="1" si="27">IF(AB4=2,IF(AND(AI4=0),1,0))</f>
        <v>1</v>
      </c>
      <c r="AN4">
        <f>MATCH(AN$2,Spieltage!$C$3:$C$11,0)+2</f>
        <v>4</v>
      </c>
      <c r="AO4" t="e">
        <f>MATCH(AN$2,Spieltage!$E$3:$E$11,0)+2</f>
        <v>#N/A</v>
      </c>
      <c r="AP4">
        <f t="shared" ref="AP4:AP37" si="28">IF(ISNUMBER(AN4),AN4,AO4)</f>
        <v>4</v>
      </c>
      <c r="AQ4">
        <f ca="1">INDIRECT("Spieltage!$F"&amp;'i2'!AP4)</f>
        <v>0</v>
      </c>
      <c r="AR4" s="35" t="s">
        <v>12</v>
      </c>
      <c r="AS4" s="97">
        <f ca="1">INDIRECT("Spieltage!$H"&amp;'i2'!AP4)</f>
        <v>0</v>
      </c>
      <c r="AT4" t="str">
        <f t="shared" ref="AT4:AT37" si="29">IF(ISNUMBER(AN4),"H","A")</f>
        <v>H</v>
      </c>
      <c r="AU4">
        <f t="shared" ref="AU4:AU37" si="30">IF(AT4="h",1,2)</f>
        <v>1</v>
      </c>
      <c r="AV4" t="b">
        <f t="shared" ref="AV4:AV37" ca="1" si="31">IF(AND(AU4=1),(AQ4&gt;AS4),)</f>
        <v>0</v>
      </c>
      <c r="AW4" t="b">
        <f t="shared" ref="AW4:AW37" ca="1" si="32">IF(AND(AU4=1),(AQ4=AS4),)</f>
        <v>1</v>
      </c>
      <c r="AX4" t="b">
        <f t="shared" ref="AX4:AX37" ca="1" si="33">IF(AND(AU4=1),(AQ4&lt;AS4),)</f>
        <v>0</v>
      </c>
      <c r="AY4">
        <f t="shared" ref="AY4:AY37" si="34">IF(AND(AU4=2),(AQ4&lt;AS4),)</f>
        <v>0</v>
      </c>
      <c r="AZ4">
        <f t="shared" ref="AZ4:AZ37" si="35">IF(AND(AU4=2),(AQ4=AS4),)</f>
        <v>0</v>
      </c>
      <c r="BA4">
        <f t="shared" ref="BA4:BA37" si="36">IF(AND(AU4=2),(AQ4&gt;AS4),)</f>
        <v>0</v>
      </c>
      <c r="BB4">
        <f t="shared" ref="BB4:BB37" ca="1" si="37">INDIRECT("Spieltage!$I"&amp;AP4)</f>
        <v>0</v>
      </c>
      <c r="BC4">
        <f t="shared" ref="BC4:BC37" ca="1" si="38">IF(AU4=1,IF(AND(BB4=1),3,0))</f>
        <v>0</v>
      </c>
      <c r="BD4">
        <f t="shared" ref="BD4:BD37" ca="1" si="39">IF(AU4=1,IF(AND(BB4=0),1,0))</f>
        <v>1</v>
      </c>
      <c r="BE4" t="b">
        <f t="shared" ref="BE4:BE37" si="40">IF(AU4=2,IF(AND(BB4=2),3,0))</f>
        <v>0</v>
      </c>
      <c r="BF4" s="6" t="b">
        <f t="shared" ref="BF4:BF37" si="41">IF(AU4=2,IF(AND(BB4=0),1,0))</f>
        <v>0</v>
      </c>
      <c r="BG4" t="e">
        <f>MATCH(BG$2,Spieltage!$C$3:$C$11,0)+2</f>
        <v>#N/A</v>
      </c>
      <c r="BH4">
        <f>MATCH(BG$2,Spieltage!$E$3:$E$11,0)+2</f>
        <v>4</v>
      </c>
      <c r="BI4">
        <f t="shared" ref="BI4:BI37" si="42">IF(ISNUMBER(BG4),BG4,BH4)</f>
        <v>4</v>
      </c>
      <c r="BJ4">
        <f ca="1">INDIRECT("Spieltage!$F"&amp;'i2'!BI4)</f>
        <v>0</v>
      </c>
      <c r="BK4" s="35" t="s">
        <v>12</v>
      </c>
      <c r="BL4" s="97">
        <f ca="1">INDIRECT("Spieltage!$H"&amp;'i2'!BI4)</f>
        <v>0</v>
      </c>
      <c r="BM4" t="str">
        <f t="shared" ref="BM4:BM37" si="43">IF(ISNUMBER(BG4),"H","A")</f>
        <v>A</v>
      </c>
      <c r="BN4">
        <f t="shared" ref="BN4:BN37" si="44">IF(BM4="h",1,2)</f>
        <v>2</v>
      </c>
      <c r="BO4">
        <f t="shared" ref="BO4:BO37" si="45">IF(AND(BN4=1),(BJ4&gt;BL4),)</f>
        <v>0</v>
      </c>
      <c r="BP4">
        <f t="shared" ref="BP4:BP37" si="46">IF(AND(BN4=1),(BJ4=BL4),)</f>
        <v>0</v>
      </c>
      <c r="BQ4">
        <f t="shared" ref="BQ4:BQ37" si="47">IF(AND(BN4=1),(BJ4&lt;BL4),)</f>
        <v>0</v>
      </c>
      <c r="BR4" t="b">
        <f t="shared" ref="BR4:BR37" ca="1" si="48">IF(AND(BN4=2),(BJ4&lt;BL4),)</f>
        <v>0</v>
      </c>
      <c r="BS4" t="b">
        <f t="shared" ref="BS4:BS37" ca="1" si="49">IF(AND(BN4=2),(BJ4=BL4),)</f>
        <v>1</v>
      </c>
      <c r="BT4" t="b">
        <f t="shared" ref="BT4:BT37" ca="1" si="50">IF(AND(BN4=2),(BJ4&gt;BL4),)</f>
        <v>0</v>
      </c>
      <c r="BU4">
        <f t="shared" ref="BU4:BU37" ca="1" si="51">INDIRECT("Spieltage!$I"&amp;BI4)</f>
        <v>0</v>
      </c>
      <c r="BV4" t="b">
        <f t="shared" ref="BV4:BV37" si="52">IF(BN4=1,IF(AND(BU4=1),3,0))</f>
        <v>0</v>
      </c>
      <c r="BW4" t="b">
        <f t="shared" ref="BW4:BW37" si="53">IF(BN4=1,IF(AND(BU4=0),1,0))</f>
        <v>0</v>
      </c>
      <c r="BX4">
        <f t="shared" ref="BX4:BX37" ca="1" si="54">IF(BN4=2,IF(AND(BU4=2),3,0))</f>
        <v>0</v>
      </c>
      <c r="BY4" s="6">
        <f t="shared" ref="BY4:BY37" ca="1" si="55">IF(BN4=2,IF(AND(BU4=0),1,0))</f>
        <v>1</v>
      </c>
      <c r="BZ4">
        <f>MATCH(BZ$2,Spieltage!$C$3:$C$11,0)+2</f>
        <v>5</v>
      </c>
      <c r="CA4" t="e">
        <f>MATCH(BZ$2,Spieltage!$E$3:$E$11,0)+2</f>
        <v>#N/A</v>
      </c>
      <c r="CB4">
        <f t="shared" ref="CB4:CB37" si="56">IF(ISNUMBER(BZ4),BZ4,CA4)</f>
        <v>5</v>
      </c>
      <c r="CC4">
        <f ca="1">INDIRECT("Spieltage!$F"&amp;'i2'!CB4)</f>
        <v>0</v>
      </c>
      <c r="CD4" s="35" t="s">
        <v>12</v>
      </c>
      <c r="CE4" s="97">
        <f ca="1">INDIRECT("Spieltage!$H"&amp;'i2'!CB4)</f>
        <v>0</v>
      </c>
      <c r="CF4" t="str">
        <f t="shared" ref="CF4:CF37" si="57">IF(ISNUMBER(BZ4),"H","A")</f>
        <v>H</v>
      </c>
      <c r="CG4">
        <f t="shared" ref="CG4:CG37" si="58">IF(CF4="h",1,2)</f>
        <v>1</v>
      </c>
      <c r="CH4" t="b">
        <f t="shared" ref="CH4:CH37" ca="1" si="59">IF(AND(CG4=1),(CC4&gt;CE4),)</f>
        <v>0</v>
      </c>
      <c r="CI4" t="b">
        <f t="shared" ref="CI4:CI37" ca="1" si="60">IF(AND(CG4=1),(CC4=CE4),)</f>
        <v>1</v>
      </c>
      <c r="CJ4" t="b">
        <f t="shared" ref="CJ4:CJ37" ca="1" si="61">IF(AND(CG4=1),(CC4&lt;CE4),)</f>
        <v>0</v>
      </c>
      <c r="CK4">
        <f t="shared" ref="CK4:CK37" si="62">IF(AND(CG4=2),(CC4&lt;CE4),)</f>
        <v>0</v>
      </c>
      <c r="CL4">
        <f t="shared" ref="CL4:CL37" si="63">IF(AND(CG4=2),(CC4=CE4),)</f>
        <v>0</v>
      </c>
      <c r="CM4">
        <f t="shared" ref="CM4:CM37" si="64">IF(AND(CG4=2),(CC4&gt;CE4),)</f>
        <v>0</v>
      </c>
      <c r="CN4">
        <f t="shared" ref="CN4:CN37" ca="1" si="65">INDIRECT("Spieltage!$I"&amp;CB4)</f>
        <v>0</v>
      </c>
      <c r="CO4">
        <f t="shared" ref="CO4:CO37" ca="1" si="66">IF(CG4=1,IF(AND(CN4=1),3,0))</f>
        <v>0</v>
      </c>
      <c r="CP4">
        <f t="shared" ref="CP4:CP37" ca="1" si="67">IF(CG4=1,IF(AND(CN4=0),1,0))</f>
        <v>1</v>
      </c>
      <c r="CQ4" t="b">
        <f t="shared" ref="CQ4:CQ37" si="68">IF(CG4=2,IF(AND(CN4=2),3,0))</f>
        <v>0</v>
      </c>
      <c r="CR4" s="6" t="b">
        <f t="shared" ref="CR4:CR37" si="69">IF(CG4=2,IF(AND(CN4=0),1,0))</f>
        <v>0</v>
      </c>
      <c r="CS4" t="e">
        <f>MATCH(CS$2,Spieltage!$C$3:$C$11,0)+2</f>
        <v>#N/A</v>
      </c>
      <c r="CT4">
        <f>MATCH(CS$2,Spieltage!$E$3:$E$11,0)+2</f>
        <v>5</v>
      </c>
      <c r="CU4">
        <f t="shared" ref="CU4:CU37" si="70">IF(ISNUMBER(CS4),CS4,CT4)</f>
        <v>5</v>
      </c>
      <c r="CV4">
        <f ca="1">INDIRECT("Spieltage!$F"&amp;'i2'!CU4)</f>
        <v>0</v>
      </c>
      <c r="CW4" s="35" t="s">
        <v>12</v>
      </c>
      <c r="CX4" s="97">
        <f ca="1">INDIRECT("Spieltage!$H"&amp;'i2'!CU4)</f>
        <v>0</v>
      </c>
      <c r="CY4" t="str">
        <f t="shared" ref="CY4:CY37" si="71">IF(ISNUMBER(CS4),"H","A")</f>
        <v>A</v>
      </c>
      <c r="CZ4">
        <f t="shared" ref="CZ4:CZ37" si="72">IF(CY4="h",1,2)</f>
        <v>2</v>
      </c>
      <c r="DA4">
        <f t="shared" ref="DA4:DA37" si="73">IF(AND(CZ4=1),(CV4&gt;CX4),)</f>
        <v>0</v>
      </c>
      <c r="DB4">
        <f t="shared" ref="DB4:DB37" si="74">IF(AND(CZ4=1),(CV4=CX4),)</f>
        <v>0</v>
      </c>
      <c r="DC4">
        <f t="shared" ref="DC4:DC37" si="75">IF(AND(CZ4=1),(CV4&lt;CX4),)</f>
        <v>0</v>
      </c>
      <c r="DD4" t="b">
        <f t="shared" ref="DD4:DD37" ca="1" si="76">IF(AND(CZ4=2),(CV4&lt;CX4),)</f>
        <v>0</v>
      </c>
      <c r="DE4" t="b">
        <f t="shared" ref="DE4:DE37" ca="1" si="77">IF(AND(CZ4=2),(CV4=CX4),)</f>
        <v>1</v>
      </c>
      <c r="DF4" t="b">
        <f t="shared" ref="DF4:DF37" ca="1" si="78">IF(AND(CZ4=2),(CV4&gt;CX4),)</f>
        <v>0</v>
      </c>
      <c r="DG4">
        <f t="shared" ref="DG4:DG37" ca="1" si="79">INDIRECT("Spieltage!$I"&amp;CU4)</f>
        <v>0</v>
      </c>
      <c r="DH4" t="b">
        <f t="shared" ref="DH4:DH37" si="80">IF(CZ4=1,IF(AND(DG4=1),3,0))</f>
        <v>0</v>
      </c>
      <c r="DI4" t="b">
        <f t="shared" ref="DI4:DI37" si="81">IF(CZ4=1,IF(AND(DG4=0),1,0))</f>
        <v>0</v>
      </c>
      <c r="DJ4">
        <f t="shared" ref="DJ4:DJ37" ca="1" si="82">IF(CZ4=2,IF(AND(DG4=2),3,0))</f>
        <v>0</v>
      </c>
      <c r="DK4" s="6">
        <f t="shared" ref="DK4:DK37" ca="1" si="83">IF(CZ4=2,IF(AND(DG4=0),1,0))</f>
        <v>1</v>
      </c>
      <c r="DL4">
        <f>MATCH(DL$2,Spieltage!$C$3:$C$11,0)+2</f>
        <v>6</v>
      </c>
      <c r="DM4" t="e">
        <f>MATCH(DL$2,Spieltage!$E$3:$E$11,0)+2</f>
        <v>#N/A</v>
      </c>
      <c r="DN4">
        <f t="shared" ref="DN4:DN37" si="84">IF(ISNUMBER(DL4),DL4,DM4)</f>
        <v>6</v>
      </c>
      <c r="DO4">
        <f ca="1">INDIRECT("Spieltage!$F"&amp;'i2'!DN4)</f>
        <v>0</v>
      </c>
      <c r="DP4" s="35" t="s">
        <v>12</v>
      </c>
      <c r="DQ4" s="97">
        <f ca="1">INDIRECT("Spieltage!$H"&amp;'i2'!DN4)</f>
        <v>0</v>
      </c>
      <c r="DR4" t="str">
        <f t="shared" ref="DR4:DR37" si="85">IF(ISNUMBER(DL4),"H","A")</f>
        <v>H</v>
      </c>
      <c r="DS4">
        <f t="shared" ref="DS4:DS37" si="86">IF(DR4="h",1,2)</f>
        <v>1</v>
      </c>
      <c r="DT4" t="b">
        <f t="shared" ref="DT4:DT37" ca="1" si="87">IF(AND(DS4=1),(DO4&gt;DQ4),)</f>
        <v>0</v>
      </c>
      <c r="DU4" t="b">
        <f t="shared" ref="DU4:DU37" ca="1" si="88">IF(AND(DS4=1),(DO4=DQ4),)</f>
        <v>1</v>
      </c>
      <c r="DV4" t="b">
        <f t="shared" ref="DV4:DV37" ca="1" si="89">IF(AND(DS4=1),(DO4&lt;DQ4),)</f>
        <v>0</v>
      </c>
      <c r="DW4">
        <f t="shared" ref="DW4:DW37" si="90">IF(AND(DS4=2),(DO4&lt;DQ4),)</f>
        <v>0</v>
      </c>
      <c r="DX4">
        <f t="shared" ref="DX4:DX37" si="91">IF(AND(DS4=2),(DO4=DQ4),)</f>
        <v>0</v>
      </c>
      <c r="DY4">
        <f t="shared" ref="DY4:DY37" si="92">IF(AND(DS4=2),(DO4&gt;DQ4),)</f>
        <v>0</v>
      </c>
      <c r="DZ4">
        <f t="shared" ref="DZ4:DZ37" ca="1" si="93">INDIRECT("Spieltage!$I"&amp;DN4)</f>
        <v>0</v>
      </c>
      <c r="EA4">
        <f t="shared" ref="EA4:EA37" ca="1" si="94">IF(DS4=1,IF(AND(DZ4=1),3,0))</f>
        <v>0</v>
      </c>
      <c r="EB4">
        <f t="shared" ref="EB4:EB37" ca="1" si="95">IF(DS4=1,IF(AND(DZ4=0),1,0))</f>
        <v>1</v>
      </c>
      <c r="EC4" t="b">
        <f t="shared" ref="EC4:EC37" si="96">IF(DS4=2,IF(AND(DZ4=2),3,0))</f>
        <v>0</v>
      </c>
      <c r="ED4" s="6" t="b">
        <f t="shared" ref="ED4:ED37" si="97">IF(DS4=2,IF(AND(DZ4=0),1,0))</f>
        <v>0</v>
      </c>
      <c r="EE4" t="e">
        <f>MATCH(EE$2,Spieltage!$C$3:$C$11,0)+2</f>
        <v>#N/A</v>
      </c>
      <c r="EF4">
        <f>MATCH(EE$2,Spieltage!$E$3:$E$11,0)+2</f>
        <v>6</v>
      </c>
      <c r="EG4">
        <f t="shared" ref="EG4:EG37" si="98">IF(ISNUMBER(EE4),EE4,EF4)</f>
        <v>6</v>
      </c>
      <c r="EH4">
        <f ca="1">INDIRECT("Spieltage!$F"&amp;'i2'!EG4)</f>
        <v>0</v>
      </c>
      <c r="EI4" s="35" t="s">
        <v>12</v>
      </c>
      <c r="EJ4" s="97">
        <f ca="1">INDIRECT("Spieltage!$H"&amp;'i2'!EG4)</f>
        <v>0</v>
      </c>
      <c r="EK4" t="str">
        <f t="shared" ref="EK4:EK37" si="99">IF(ISNUMBER(EE4),"H","A")</f>
        <v>A</v>
      </c>
      <c r="EL4">
        <f t="shared" ref="EL4:EL37" si="100">IF(EK4="h",1,2)</f>
        <v>2</v>
      </c>
      <c r="EM4">
        <f t="shared" ref="EM4:EM37" si="101">IF(AND(EL4=1),(EH4&gt;EJ4),)</f>
        <v>0</v>
      </c>
      <c r="EN4">
        <f t="shared" ref="EN4:EN37" si="102">IF(AND(EL4=1),(EH4=EJ4),)</f>
        <v>0</v>
      </c>
      <c r="EO4">
        <f t="shared" ref="EO4:EO37" si="103">IF(AND(EL4=1),(EH4&lt;EJ4),)</f>
        <v>0</v>
      </c>
      <c r="EP4" t="b">
        <f t="shared" ref="EP4:EP37" ca="1" si="104">IF(AND(EL4=2),(EH4&lt;EJ4),)</f>
        <v>0</v>
      </c>
      <c r="EQ4" t="b">
        <f t="shared" ref="EQ4:EQ37" ca="1" si="105">IF(AND(EL4=2),(EH4=EJ4),)</f>
        <v>1</v>
      </c>
      <c r="ER4" t="b">
        <f t="shared" ref="ER4:ER37" ca="1" si="106">IF(AND(EL4=2),(EH4&gt;EJ4),)</f>
        <v>0</v>
      </c>
      <c r="ES4">
        <f t="shared" ref="ES4:ES37" ca="1" si="107">INDIRECT("Spieltage!$I"&amp;EG4)</f>
        <v>0</v>
      </c>
      <c r="ET4" t="b">
        <f t="shared" ref="ET4:ET37" si="108">IF(EL4=1,IF(AND(ES4=1),3,0))</f>
        <v>0</v>
      </c>
      <c r="EU4" t="b">
        <f t="shared" ref="EU4:EU37" si="109">IF(EL4=1,IF(AND(ES4=0),1,0))</f>
        <v>0</v>
      </c>
      <c r="EV4">
        <f t="shared" ref="EV4:EV37" ca="1" si="110">IF(EL4=2,IF(AND(ES4=2),3,0))</f>
        <v>0</v>
      </c>
      <c r="EW4" s="6">
        <f t="shared" ref="EW4:EW37" ca="1" si="111">IF(EL4=2,IF(AND(ES4=0),1,0))</f>
        <v>1</v>
      </c>
      <c r="EX4">
        <f>MATCH(EX$2,Spieltage!$C$3:$C$11,0)+2</f>
        <v>7</v>
      </c>
      <c r="EY4" t="e">
        <f>MATCH(EX$2,Spieltage!$E$3:$E$11,0)+2</f>
        <v>#N/A</v>
      </c>
      <c r="EZ4">
        <f t="shared" ref="EZ4:EZ37" si="112">IF(ISNUMBER(EX4),EX4,EY4)</f>
        <v>7</v>
      </c>
      <c r="FA4">
        <f ca="1">INDIRECT("Spieltage!$F"&amp;'i2'!EZ4)</f>
        <v>0</v>
      </c>
      <c r="FB4" s="35" t="s">
        <v>12</v>
      </c>
      <c r="FC4" s="97">
        <f ca="1">INDIRECT("Spieltage!$H"&amp;'i2'!EZ4)</f>
        <v>0</v>
      </c>
      <c r="FD4" t="str">
        <f t="shared" ref="FD4:FD37" si="113">IF(ISNUMBER(EX4),"H","A")</f>
        <v>H</v>
      </c>
      <c r="FE4">
        <f t="shared" ref="FE4:FE37" si="114">IF(FD4="h",1,2)</f>
        <v>1</v>
      </c>
      <c r="FF4" t="b">
        <f t="shared" ref="FF4:FF37" ca="1" si="115">IF(AND(FE4=1),(FA4&gt;FC4),)</f>
        <v>0</v>
      </c>
      <c r="FG4" t="b">
        <f t="shared" ref="FG4:FG37" ca="1" si="116">IF(AND(FE4=1),(FA4=FC4),)</f>
        <v>1</v>
      </c>
      <c r="FH4" t="b">
        <f t="shared" ref="FH4:FH37" ca="1" si="117">IF(AND(FE4=1),(FA4&lt;FC4),)</f>
        <v>0</v>
      </c>
      <c r="FI4">
        <f t="shared" ref="FI4:FI37" si="118">IF(AND(FE4=2),(FA4&lt;FC4),)</f>
        <v>0</v>
      </c>
      <c r="FJ4">
        <f t="shared" ref="FJ4:FJ37" si="119">IF(AND(FE4=2),(FA4=FC4),)</f>
        <v>0</v>
      </c>
      <c r="FK4">
        <f t="shared" ref="FK4:FK37" si="120">IF(AND(FE4=2),(FA4&gt;FC4),)</f>
        <v>0</v>
      </c>
      <c r="FL4">
        <f t="shared" ref="FL4:FL37" ca="1" si="121">INDIRECT("Spieltage!$I"&amp;EZ4)</f>
        <v>0</v>
      </c>
      <c r="FM4">
        <f t="shared" ref="FM4:FM37" ca="1" si="122">IF(FE4=1,IF(AND(FL4=1),3,0))</f>
        <v>0</v>
      </c>
      <c r="FN4">
        <f t="shared" ref="FN4:FN37" ca="1" si="123">IF(FE4=1,IF(AND(FL4=0),1,0))</f>
        <v>1</v>
      </c>
      <c r="FO4" t="b">
        <f t="shared" ref="FO4:FO37" si="124">IF(FE4=2,IF(AND(FL4=2),3,0))</f>
        <v>0</v>
      </c>
      <c r="FP4" s="6" t="b">
        <f t="shared" ref="FP4:FP37" si="125">IF(FE4=2,IF(AND(FL4=0),1,0))</f>
        <v>0</v>
      </c>
      <c r="FQ4" t="e">
        <f>MATCH(FQ$2,Spieltage!$C$3:$C$11,0)+2</f>
        <v>#N/A</v>
      </c>
      <c r="FR4">
        <f>MATCH(FQ$2,Spieltage!$E$3:$E$11,0)+2</f>
        <v>7</v>
      </c>
      <c r="FS4">
        <f t="shared" ref="FS4:FS37" si="126">IF(ISNUMBER(FQ4),FQ4,FR4)</f>
        <v>7</v>
      </c>
      <c r="FT4">
        <f ca="1">INDIRECT("Spieltage!$F"&amp;'i2'!FS4)</f>
        <v>0</v>
      </c>
      <c r="FU4" s="35" t="s">
        <v>12</v>
      </c>
      <c r="FV4" s="97">
        <f ca="1">INDIRECT("Spieltage!$H"&amp;'i2'!FS4)</f>
        <v>0</v>
      </c>
      <c r="FW4" t="str">
        <f t="shared" ref="FW4:FW37" si="127">IF(ISNUMBER(FQ4),"H","A")</f>
        <v>A</v>
      </c>
      <c r="FX4">
        <f t="shared" ref="FX4:FX37" si="128">IF(FW4="h",1,2)</f>
        <v>2</v>
      </c>
      <c r="FY4">
        <f t="shared" ref="FY4:FY37" si="129">IF(AND(FX4=1),(FT4&gt;FV4),)</f>
        <v>0</v>
      </c>
      <c r="FZ4">
        <f t="shared" ref="FZ4:FZ37" si="130">IF(AND(FX4=1),(FT4=FV4),)</f>
        <v>0</v>
      </c>
      <c r="GA4">
        <f t="shared" ref="GA4:GA37" si="131">IF(AND(FX4=1),(FT4&lt;FV4),)</f>
        <v>0</v>
      </c>
      <c r="GB4" t="b">
        <f t="shared" ref="GB4:GB37" ca="1" si="132">IF(AND(FX4=2),(FT4&lt;FV4),)</f>
        <v>0</v>
      </c>
      <c r="GC4" t="b">
        <f t="shared" ref="GC4:GC37" ca="1" si="133">IF(AND(FX4=2),(FT4=FV4),)</f>
        <v>1</v>
      </c>
      <c r="GD4" t="b">
        <f t="shared" ref="GD4:GD37" ca="1" si="134">IF(AND(FX4=2),(FT4&gt;FV4),)</f>
        <v>0</v>
      </c>
      <c r="GE4">
        <f t="shared" ref="GE4:GE37" ca="1" si="135">INDIRECT("Spieltage!$I"&amp;FS4)</f>
        <v>0</v>
      </c>
      <c r="GF4" t="b">
        <f t="shared" ref="GF4:GF37" si="136">IF(FX4=1,IF(AND(GE4=1),3,0))</f>
        <v>0</v>
      </c>
      <c r="GG4" t="b">
        <f t="shared" ref="GG4:GG37" si="137">IF(FX4=1,IF(AND(GE4=0),1,0))</f>
        <v>0</v>
      </c>
      <c r="GH4">
        <f t="shared" ref="GH4:GH37" ca="1" si="138">IF(FX4=2,IF(AND(GE4=2),3,0))</f>
        <v>0</v>
      </c>
      <c r="GI4" s="6">
        <f t="shared" ref="GI4:GI37" ca="1" si="139">IF(FX4=2,IF(AND(GE4=0),1,0))</f>
        <v>1</v>
      </c>
      <c r="GJ4">
        <f>MATCH(GJ$2,Spieltage!$C$3:$C$11,0)+2</f>
        <v>8</v>
      </c>
      <c r="GK4" t="e">
        <f>MATCH(GJ$2,Spieltage!$E$3:$E$11,0)+2</f>
        <v>#N/A</v>
      </c>
      <c r="GL4">
        <f t="shared" ref="GL4:GL37" si="140">IF(ISNUMBER(GJ4),GJ4,GK4)</f>
        <v>8</v>
      </c>
      <c r="GM4">
        <f ca="1">INDIRECT("Spieltage!$F"&amp;'i2'!GL4)</f>
        <v>0</v>
      </c>
      <c r="GN4" s="35" t="s">
        <v>12</v>
      </c>
      <c r="GO4" s="97">
        <f ca="1">INDIRECT("Spieltage!$H"&amp;'i2'!GL4)</f>
        <v>0</v>
      </c>
      <c r="GP4" t="str">
        <f t="shared" ref="GP4:GP37" si="141">IF(ISNUMBER(GJ4),"H","A")</f>
        <v>H</v>
      </c>
      <c r="GQ4">
        <f t="shared" ref="GQ4:GQ37" si="142">IF(GP4="h",1,2)</f>
        <v>1</v>
      </c>
      <c r="GR4" t="b">
        <f t="shared" ref="GR4:GR37" ca="1" si="143">IF(AND(GQ4=1),(GM4&gt;GO4),)</f>
        <v>0</v>
      </c>
      <c r="GS4" t="b">
        <f t="shared" ref="GS4:GS37" ca="1" si="144">IF(AND(GQ4=1),(GM4=GO4),)</f>
        <v>1</v>
      </c>
      <c r="GT4" t="b">
        <f t="shared" ref="GT4:GT37" ca="1" si="145">IF(AND(GQ4=1),(GM4&lt;GO4),)</f>
        <v>0</v>
      </c>
      <c r="GU4">
        <f t="shared" ref="GU4:GU37" si="146">IF(AND(GQ4=2),(GM4&lt;GO4),)</f>
        <v>0</v>
      </c>
      <c r="GV4">
        <f t="shared" ref="GV4:GV37" si="147">IF(AND(GQ4=2),(GM4=GO4),)</f>
        <v>0</v>
      </c>
      <c r="GW4">
        <f t="shared" ref="GW4:GW37" si="148">IF(AND(GQ4=2),(GM4&gt;GO4),)</f>
        <v>0</v>
      </c>
      <c r="GX4">
        <f t="shared" ref="GX4:GX37" ca="1" si="149">INDIRECT("Spieltage!$I"&amp;GL4)</f>
        <v>0</v>
      </c>
      <c r="GY4">
        <f t="shared" ref="GY4:GY37" ca="1" si="150">IF(GQ4=1,IF(AND(GX4=1),3,0))</f>
        <v>0</v>
      </c>
      <c r="GZ4">
        <f t="shared" ref="GZ4:GZ37" ca="1" si="151">IF(GQ4=1,IF(AND(GX4=0),1,0))</f>
        <v>1</v>
      </c>
      <c r="HA4" t="b">
        <f t="shared" ref="HA4:HA37" si="152">IF(GQ4=2,IF(AND(GX4=2),3,0))</f>
        <v>0</v>
      </c>
      <c r="HB4" s="6" t="b">
        <f t="shared" ref="HB4:HB37" si="153">IF(GQ4=2,IF(AND(GX4=0),1,0))</f>
        <v>0</v>
      </c>
      <c r="HC4" t="e">
        <f>MATCH(HC$2,Spieltage!$C$3:$C$11,0)+2</f>
        <v>#N/A</v>
      </c>
      <c r="HD4">
        <f>MATCH(HC$2,Spieltage!$E$3:$E$11,0)+2</f>
        <v>8</v>
      </c>
      <c r="HE4">
        <f t="shared" ref="HE4:HE37" si="154">IF(ISNUMBER(HC4),HC4,HD4)</f>
        <v>8</v>
      </c>
      <c r="HF4">
        <f ca="1">INDIRECT("Spieltage!$F"&amp;'i2'!HE4)</f>
        <v>0</v>
      </c>
      <c r="HG4" s="35" t="s">
        <v>12</v>
      </c>
      <c r="HH4" s="97">
        <f ca="1">INDIRECT("Spieltage!$H"&amp;'i2'!HE4)</f>
        <v>0</v>
      </c>
      <c r="HI4" t="str">
        <f t="shared" ref="HI4:HI37" si="155">IF(ISNUMBER(HC4),"H","A")</f>
        <v>A</v>
      </c>
      <c r="HJ4">
        <f t="shared" ref="HJ4:HJ37" si="156">IF(HI4="h",1,2)</f>
        <v>2</v>
      </c>
      <c r="HK4">
        <f t="shared" ref="HK4:HK37" si="157">IF(AND(HJ4=1),(HF4&gt;HH4),)</f>
        <v>0</v>
      </c>
      <c r="HL4">
        <f t="shared" ref="HL4:HL37" si="158">IF(AND(HJ4=1),(HF4=HH4),)</f>
        <v>0</v>
      </c>
      <c r="HM4">
        <f t="shared" ref="HM4:HM37" si="159">IF(AND(HJ4=1),(HF4&lt;HH4),)</f>
        <v>0</v>
      </c>
      <c r="HN4" t="b">
        <f t="shared" ref="HN4:HN37" ca="1" si="160">IF(AND(HJ4=2),(HF4&lt;HH4),)</f>
        <v>0</v>
      </c>
      <c r="HO4" t="b">
        <f t="shared" ref="HO4:HO37" ca="1" si="161">IF(AND(HJ4=2),(HF4=HH4),)</f>
        <v>1</v>
      </c>
      <c r="HP4" t="b">
        <f t="shared" ref="HP4:HP37" ca="1" si="162">IF(AND(HJ4=2),(HF4&gt;HH4),)</f>
        <v>0</v>
      </c>
      <c r="HQ4">
        <f t="shared" ref="HQ4:HQ37" ca="1" si="163">INDIRECT("Spieltage!$I"&amp;HE4)</f>
        <v>0</v>
      </c>
      <c r="HR4" t="b">
        <f t="shared" ref="HR4:HR37" si="164">IF(HJ4=1,IF(AND(HQ4=1),3,0))</f>
        <v>0</v>
      </c>
      <c r="HS4" t="b">
        <f t="shared" ref="HS4:HS37" si="165">IF(HJ4=1,IF(AND(HQ4=0),1,0))</f>
        <v>0</v>
      </c>
      <c r="HT4">
        <f t="shared" ref="HT4:HT37" ca="1" si="166">IF(HJ4=2,IF(AND(HQ4=2),3,0))</f>
        <v>0</v>
      </c>
      <c r="HU4" s="6">
        <f t="shared" ref="HU4:HU37" ca="1" si="167">IF(HJ4=2,IF(AND(HQ4=0),1,0))</f>
        <v>1</v>
      </c>
      <c r="HV4">
        <f>MATCH(HV$2,Spieltage!$C$3:$C$11,0)+2</f>
        <v>9</v>
      </c>
      <c r="HW4" t="e">
        <f>MATCH(HV$2,Spieltage!$E$3:$E$11,0)+2</f>
        <v>#N/A</v>
      </c>
      <c r="HX4">
        <f t="shared" ref="HX4:HX37" si="168">IF(ISNUMBER(HV4),HV4,HW4)</f>
        <v>9</v>
      </c>
      <c r="HY4">
        <f ca="1">INDIRECT("Spieltage!$F"&amp;'i2'!HX4)</f>
        <v>0</v>
      </c>
      <c r="HZ4" s="35" t="s">
        <v>12</v>
      </c>
      <c r="IA4" s="97">
        <f ca="1">INDIRECT("Spieltage!$H"&amp;'i2'!HX4)</f>
        <v>0</v>
      </c>
      <c r="IB4" t="str">
        <f t="shared" ref="IB4:IB37" si="169">IF(ISNUMBER(HV4),"H","A")</f>
        <v>H</v>
      </c>
      <c r="IC4">
        <f t="shared" ref="IC4:IC37" si="170">IF(IB4="h",1,2)</f>
        <v>1</v>
      </c>
      <c r="ID4" t="b">
        <f t="shared" ref="ID4:ID37" ca="1" si="171">IF(AND(IC4=1),(HY4&gt;IA4),)</f>
        <v>0</v>
      </c>
      <c r="IE4" t="b">
        <f t="shared" ref="IE4:IE37" ca="1" si="172">IF(AND(IC4=1),(HY4=IA4),)</f>
        <v>1</v>
      </c>
      <c r="IF4" t="b">
        <f t="shared" ref="IF4:IF37" ca="1" si="173">IF(AND(IC4=1),(HY4&lt;IA4),)</f>
        <v>0</v>
      </c>
      <c r="IG4">
        <f t="shared" ref="IG4:IG37" si="174">IF(AND(IC4=2),(HY4&lt;IA4),)</f>
        <v>0</v>
      </c>
      <c r="IH4">
        <f t="shared" ref="IH4:IH37" si="175">IF(AND(IC4=2),(HY4=IA4),)</f>
        <v>0</v>
      </c>
      <c r="II4">
        <f t="shared" ref="II4:II37" si="176">IF(AND(IC4=2),(HY4&gt;IA4),)</f>
        <v>0</v>
      </c>
      <c r="IJ4">
        <f t="shared" ref="IJ4:IJ37" ca="1" si="177">INDIRECT("Spieltage!$I"&amp;HX4)</f>
        <v>0</v>
      </c>
      <c r="IK4">
        <f t="shared" ref="IK4:IK37" ca="1" si="178">IF(IC4=1,IF(AND(IJ4=1),3,0))</f>
        <v>0</v>
      </c>
      <c r="IL4">
        <f t="shared" ref="IL4:IL37" ca="1" si="179">IF(IC4=1,IF(AND(IJ4=0),1,0))</f>
        <v>1</v>
      </c>
      <c r="IM4" t="b">
        <f t="shared" ref="IM4:IM37" si="180">IF(IC4=2,IF(AND(IJ4=2),3,0))</f>
        <v>0</v>
      </c>
      <c r="IN4" s="6" t="b">
        <f t="shared" ref="IN4:IN37" si="181">IF(IC4=2,IF(AND(IJ4=0),1,0))</f>
        <v>0</v>
      </c>
      <c r="IO4" t="e">
        <f>MATCH(IO$2,Spieltage!$C$3:$C$11,0)+2</f>
        <v>#N/A</v>
      </c>
      <c r="IP4">
        <f>MATCH(IO$2,Spieltage!$E$3:$E$11,0)+2</f>
        <v>9</v>
      </c>
      <c r="IQ4">
        <f t="shared" ref="IQ4:IQ37" si="182">IF(ISNUMBER(IO4),IO4,IP4)</f>
        <v>9</v>
      </c>
      <c r="IR4">
        <f ca="1">INDIRECT("Spieltage!$F"&amp;'i2'!IQ4)</f>
        <v>0</v>
      </c>
      <c r="IS4" s="35" t="s">
        <v>12</v>
      </c>
      <c r="IT4" s="97">
        <f ca="1">INDIRECT("Spieltage!$H"&amp;'i2'!IQ4)</f>
        <v>0</v>
      </c>
      <c r="IU4" t="str">
        <f t="shared" ref="IU4:IU37" si="183">IF(ISNUMBER(IO4),"H","A")</f>
        <v>A</v>
      </c>
      <c r="IV4">
        <f t="shared" ref="IV4:IV37" si="184">IF(IU4="h",1,2)</f>
        <v>2</v>
      </c>
      <c r="IW4">
        <f t="shared" ref="IW4:IW37" si="185">IF(AND(IV4=1),(IR4&gt;IT4),)</f>
        <v>0</v>
      </c>
      <c r="IX4">
        <f t="shared" ref="IX4:IX37" si="186">IF(AND(IV4=1),(IR4=IT4),)</f>
        <v>0</v>
      </c>
      <c r="IY4">
        <f t="shared" ref="IY4:IY37" si="187">IF(AND(IV4=1),(IR4&lt;IT4),)</f>
        <v>0</v>
      </c>
      <c r="IZ4" t="b">
        <f t="shared" ref="IZ4:IZ37" ca="1" si="188">IF(AND(IV4=2),(IR4&lt;IT4),)</f>
        <v>0</v>
      </c>
      <c r="JA4" t="b">
        <f t="shared" ref="JA4:JA37" ca="1" si="189">IF(AND(IV4=2),(IR4=IT4),)</f>
        <v>1</v>
      </c>
      <c r="JB4" t="b">
        <f t="shared" ref="JB4:JB37" ca="1" si="190">IF(AND(IV4=2),(IR4&gt;IT4),)</f>
        <v>0</v>
      </c>
      <c r="JC4">
        <f t="shared" ref="JC4:JC37" ca="1" si="191">INDIRECT("Spieltage!$I"&amp;IQ4)</f>
        <v>0</v>
      </c>
      <c r="JD4" t="b">
        <f t="shared" ref="JD4:JD37" si="192">IF(IV4=1,IF(AND(JC4=1),3,0))</f>
        <v>0</v>
      </c>
      <c r="JE4" t="b">
        <f t="shared" ref="JE4:JE37" si="193">IF(IV4=1,IF(AND(JC4=0),1,0))</f>
        <v>0</v>
      </c>
      <c r="JF4">
        <f t="shared" ref="JF4:JF37" ca="1" si="194">IF(IV4=2,IF(AND(JC4=2),3,0))</f>
        <v>0</v>
      </c>
      <c r="JG4" s="6">
        <f t="shared" ref="JG4:JG37" ca="1" si="195">IF(IV4=2,IF(AND(JC4=0),1,0))</f>
        <v>1</v>
      </c>
      <c r="JH4">
        <f>MATCH(JH$2,Spieltage!$C$3:$C$11,0)+2</f>
        <v>10</v>
      </c>
      <c r="JI4" t="e">
        <f>MATCH(JH$2,Spieltage!$E$3:$E$11,0)+2</f>
        <v>#N/A</v>
      </c>
      <c r="JJ4">
        <f t="shared" ref="JJ4:JJ37" si="196">IF(ISNUMBER(JH4),JH4,JI4)</f>
        <v>10</v>
      </c>
      <c r="JK4">
        <f ca="1">INDIRECT("Spieltage!$F"&amp;'i2'!JJ4)</f>
        <v>0</v>
      </c>
      <c r="JL4" s="35" t="s">
        <v>12</v>
      </c>
      <c r="JM4" s="97">
        <f ca="1">INDIRECT("Spieltage!$H"&amp;'i2'!JJ4)</f>
        <v>0</v>
      </c>
      <c r="JN4" t="str">
        <f t="shared" ref="JN4:JN37" si="197">IF(ISNUMBER(JH4),"H","A")</f>
        <v>H</v>
      </c>
      <c r="JO4">
        <f t="shared" ref="JO4:JO37" si="198">IF(JN4="h",1,2)</f>
        <v>1</v>
      </c>
      <c r="JP4" t="b">
        <f t="shared" ref="JP4:JP37" ca="1" si="199">IF(AND(JO4=1),(JK4&gt;JM4),)</f>
        <v>0</v>
      </c>
      <c r="JQ4" t="b">
        <f t="shared" ref="JQ4:JQ37" ca="1" si="200">IF(AND(JO4=1),(JK4=JM4),)</f>
        <v>1</v>
      </c>
      <c r="JR4" t="b">
        <f t="shared" ref="JR4:JR37" ca="1" si="201">IF(AND(JO4=1),(JK4&lt;JM4),)</f>
        <v>0</v>
      </c>
      <c r="JS4">
        <f t="shared" ref="JS4:JS37" si="202">IF(AND(JO4=2),(JK4&lt;JM4),)</f>
        <v>0</v>
      </c>
      <c r="JT4">
        <f t="shared" ref="JT4:JT37" si="203">IF(AND(JO4=2),(JK4=JM4),)</f>
        <v>0</v>
      </c>
      <c r="JU4">
        <f t="shared" ref="JU4:JU37" si="204">IF(AND(JO4=2),(JK4&gt;JM4),)</f>
        <v>0</v>
      </c>
      <c r="JV4">
        <f t="shared" ref="JV4:JV37" ca="1" si="205">INDIRECT("Spieltage!$I"&amp;JJ4)</f>
        <v>0</v>
      </c>
      <c r="JW4">
        <f t="shared" ref="JW4:JW37" ca="1" si="206">IF(JO4=1,IF(AND(JV4=1),3,0))</f>
        <v>0</v>
      </c>
      <c r="JX4">
        <f t="shared" ref="JX4:JX37" ca="1" si="207">IF(JO4=1,IF(AND(JV4=0),1,0))</f>
        <v>1</v>
      </c>
      <c r="JY4" t="b">
        <f t="shared" ref="JY4:JY37" si="208">IF(JO4=2,IF(AND(JV4=2),3,0))</f>
        <v>0</v>
      </c>
      <c r="JZ4" s="6" t="b">
        <f t="shared" ref="JZ4:JZ37" si="209">IF(JO4=2,IF(AND(JV4=0),1,0))</f>
        <v>0</v>
      </c>
      <c r="KA4" t="e">
        <f>MATCH(KA$2,Spieltage!$C$3:$C$11,0)+2</f>
        <v>#N/A</v>
      </c>
      <c r="KB4">
        <f>MATCH(KA$2,Spieltage!$E$3:$E$11,0)+2</f>
        <v>10</v>
      </c>
      <c r="KC4">
        <f t="shared" ref="KC4:KC37" si="210">IF(ISNUMBER(KA4),KA4,KB4)</f>
        <v>10</v>
      </c>
      <c r="KD4">
        <f ca="1">INDIRECT("Spieltage!$F"&amp;'i2'!KC4)</f>
        <v>0</v>
      </c>
      <c r="KE4" s="35" t="s">
        <v>12</v>
      </c>
      <c r="KF4" s="97">
        <f ca="1">INDIRECT("Spieltage!$H"&amp;'i2'!KC4)</f>
        <v>0</v>
      </c>
      <c r="KG4" t="str">
        <f t="shared" ref="KG4:KG37" si="211">IF(ISNUMBER(KA4),"H","A")</f>
        <v>A</v>
      </c>
      <c r="KH4">
        <f t="shared" ref="KH4:KH37" si="212">IF(KG4="h",1,2)</f>
        <v>2</v>
      </c>
      <c r="KI4">
        <f t="shared" ref="KI4:KI37" si="213">IF(AND(KH4=1),(KD4&gt;KF4),)</f>
        <v>0</v>
      </c>
      <c r="KJ4">
        <f t="shared" ref="KJ4:KJ37" si="214">IF(AND(KH4=1),(KD4=KF4),)</f>
        <v>0</v>
      </c>
      <c r="KK4">
        <f t="shared" ref="KK4:KK37" si="215">IF(AND(KH4=1),(KD4&lt;KF4),)</f>
        <v>0</v>
      </c>
      <c r="KL4" t="b">
        <f t="shared" ref="KL4:KL37" ca="1" si="216">IF(AND(KH4=2),(KD4&lt;KF4),)</f>
        <v>0</v>
      </c>
      <c r="KM4" t="b">
        <f t="shared" ref="KM4:KM37" ca="1" si="217">IF(AND(KH4=2),(KD4=KF4),)</f>
        <v>1</v>
      </c>
      <c r="KN4" t="b">
        <f t="shared" ref="KN4:KN37" ca="1" si="218">IF(AND(KH4=2),(KD4&gt;KF4),)</f>
        <v>0</v>
      </c>
      <c r="KO4">
        <f t="shared" ref="KO4:KO37" ca="1" si="219">INDIRECT("Spieltage!$I"&amp;KC4)</f>
        <v>0</v>
      </c>
      <c r="KP4" t="b">
        <f t="shared" ref="KP4:KP37" si="220">IF(KH4=1,IF(AND(KO4=1),3,0))</f>
        <v>0</v>
      </c>
      <c r="KQ4" t="b">
        <f t="shared" ref="KQ4:KQ37" si="221">IF(KH4=1,IF(AND(KO4=0),1,0))</f>
        <v>0</v>
      </c>
      <c r="KR4">
        <f t="shared" ref="KR4:KR37" ca="1" si="222">IF(KH4=2,IF(AND(KO4=2),3,0))</f>
        <v>0</v>
      </c>
      <c r="KS4" s="6">
        <f t="shared" ref="KS4:KS37" ca="1" si="223">IF(KH4=2,IF(AND(KO4=0),1,0))</f>
        <v>1</v>
      </c>
      <c r="KT4">
        <f>MATCH(KT$2,Spieltage!$C$3:$C$11,0)+2</f>
        <v>11</v>
      </c>
      <c r="KU4" t="e">
        <f>MATCH(KT$2,Spieltage!$E$3:$E$11,0)+2</f>
        <v>#N/A</v>
      </c>
      <c r="KV4">
        <f t="shared" ref="KV4:KV37" si="224">IF(ISNUMBER(KT4),KT4,KU4)</f>
        <v>11</v>
      </c>
      <c r="KW4">
        <f ca="1">INDIRECT("Spieltage!$F"&amp;'i2'!KV4)</f>
        <v>0</v>
      </c>
      <c r="KX4" s="35" t="s">
        <v>12</v>
      </c>
      <c r="KY4" s="97">
        <f ca="1">INDIRECT("Spieltage!$H"&amp;'i2'!KV4)</f>
        <v>0</v>
      </c>
      <c r="KZ4" t="str">
        <f t="shared" ref="KZ4:KZ37" si="225">IF(ISNUMBER(KT4),"H","A")</f>
        <v>H</v>
      </c>
      <c r="LA4">
        <f t="shared" ref="LA4:LA37" si="226">IF(KZ4="h",1,2)</f>
        <v>1</v>
      </c>
      <c r="LB4" t="b">
        <f t="shared" ref="LB4:LB37" ca="1" si="227">IF(AND(LA4=1),(KW4&gt;KY4),)</f>
        <v>0</v>
      </c>
      <c r="LC4" t="b">
        <f t="shared" ref="LC4:LC37" ca="1" si="228">IF(AND(LA4=1),(KW4=KY4),)</f>
        <v>1</v>
      </c>
      <c r="LD4" t="b">
        <f t="shared" ref="LD4:LD37" ca="1" si="229">IF(AND(LA4=1),(KW4&lt;KY4),)</f>
        <v>0</v>
      </c>
      <c r="LE4">
        <f t="shared" ref="LE4:LE37" si="230">IF(AND(LA4=2),(KW4&lt;KY4),)</f>
        <v>0</v>
      </c>
      <c r="LF4">
        <f t="shared" ref="LF4:LF37" si="231">IF(AND(LA4=2),(KW4=KY4),)</f>
        <v>0</v>
      </c>
      <c r="LG4">
        <f t="shared" ref="LG4:LG37" si="232">IF(AND(LA4=2),(KW4&gt;KY4),)</f>
        <v>0</v>
      </c>
      <c r="LH4">
        <f t="shared" ref="LH4:LH37" ca="1" si="233">INDIRECT("Spieltage!$I"&amp;KV4)</f>
        <v>0</v>
      </c>
      <c r="LI4">
        <f t="shared" ref="LI4:LI37" ca="1" si="234">IF(LA4=1,IF(AND(LH4=1),3,0))</f>
        <v>0</v>
      </c>
      <c r="LJ4">
        <f t="shared" ref="LJ4:LJ37" ca="1" si="235">IF(LA4=1,IF(AND(LH4=0),1,0))</f>
        <v>1</v>
      </c>
      <c r="LK4" t="b">
        <f t="shared" ref="LK4:LK37" si="236">IF(LA4=2,IF(AND(LH4=2),3,0))</f>
        <v>0</v>
      </c>
      <c r="LL4" s="6" t="b">
        <f t="shared" ref="LL4:LL37" si="237">IF(LA4=2,IF(AND(LH4=0),1,0))</f>
        <v>0</v>
      </c>
      <c r="LM4" t="e">
        <f>MATCH(LM$2,Spieltage!$C$3:$C$11,0)+2</f>
        <v>#N/A</v>
      </c>
      <c r="LN4">
        <f>MATCH(LM$2,Spieltage!$E$3:$E$11,0)+2</f>
        <v>11</v>
      </c>
      <c r="LO4">
        <f t="shared" ref="LO4:LO37" si="238">IF(ISNUMBER(LM4),LM4,LN4)</f>
        <v>11</v>
      </c>
      <c r="LP4">
        <f ca="1">INDIRECT("Spieltage!$F"&amp;'i2'!LO4)</f>
        <v>0</v>
      </c>
      <c r="LQ4" s="35" t="s">
        <v>12</v>
      </c>
      <c r="LR4" s="97">
        <f ca="1">INDIRECT("Spieltage!$H"&amp;'i2'!LO4)</f>
        <v>0</v>
      </c>
      <c r="LS4" t="str">
        <f t="shared" ref="LS4:LS37" si="239">IF(ISNUMBER(LM4),"H","A")</f>
        <v>A</v>
      </c>
      <c r="LT4">
        <f t="shared" ref="LT4:LT37" si="240">IF(LS4="h",1,2)</f>
        <v>2</v>
      </c>
      <c r="LU4">
        <f t="shared" ref="LU4:LU37" si="241">IF(AND(LT4=1),(LP4&gt;LR4),)</f>
        <v>0</v>
      </c>
      <c r="LV4">
        <f t="shared" ref="LV4:LV37" si="242">IF(AND(LT4=1),(LP4=LR4),)</f>
        <v>0</v>
      </c>
      <c r="LW4">
        <f t="shared" ref="LW4:LW37" si="243">IF(AND(LT4=1),(LP4&lt;LR4),)</f>
        <v>0</v>
      </c>
      <c r="LX4" t="b">
        <f t="shared" ref="LX4:LX37" ca="1" si="244">IF(AND(LT4=2),(LP4&lt;LR4),)</f>
        <v>0</v>
      </c>
      <c r="LY4" t="b">
        <f t="shared" ref="LY4:LY37" ca="1" si="245">IF(AND(LT4=2),(LP4=LR4),)</f>
        <v>1</v>
      </c>
      <c r="LZ4" t="b">
        <f t="shared" ref="LZ4:LZ37" ca="1" si="246">IF(AND(LT4=2),(LP4&gt;LR4),)</f>
        <v>0</v>
      </c>
      <c r="MA4">
        <f t="shared" ref="MA4:MA37" ca="1" si="247">INDIRECT("Spieltage!$I"&amp;LO4)</f>
        <v>0</v>
      </c>
      <c r="MB4" t="b">
        <f t="shared" ref="MB4:MB37" si="248">IF(LT4=1,IF(AND(MA4=1),3,0))</f>
        <v>0</v>
      </c>
      <c r="MC4" t="b">
        <f t="shared" ref="MC4:MC37" si="249">IF(LT4=1,IF(AND(MA4=0),1,0))</f>
        <v>0</v>
      </c>
      <c r="MD4">
        <f t="shared" ref="MD4:MD37" ca="1" si="250">IF(LT4=2,IF(AND(MA4=2),3,0))</f>
        <v>0</v>
      </c>
      <c r="ME4" s="6">
        <f t="shared" ref="ME4:ME37" ca="1" si="251">IF(LT4=2,IF(AND(MA4=0),1,0))</f>
        <v>1</v>
      </c>
    </row>
    <row r="5" spans="1:343" x14ac:dyDescent="0.2">
      <c r="A5" s="104" t="s">
        <v>154</v>
      </c>
      <c r="B5" t="e">
        <f>MATCH(B$2,Spieltage!$C$18:$C$26,0)+17</f>
        <v>#N/A</v>
      </c>
      <c r="C5">
        <f>MATCH(B$2,Spieltage!$E$18:$E$26,0)+17</f>
        <v>23</v>
      </c>
      <c r="D5">
        <f t="shared" si="0"/>
        <v>23</v>
      </c>
      <c r="E5">
        <f ca="1">INDIRECT("Spieltage!$F"&amp;'i2'!D5)</f>
        <v>0</v>
      </c>
      <c r="F5" s="35" t="s">
        <v>12</v>
      </c>
      <c r="G5" s="97">
        <f ca="1">INDIRECT("Spieltage!$H"&amp;'i2'!D5)</f>
        <v>0</v>
      </c>
      <c r="H5" t="str">
        <f t="shared" si="1"/>
        <v>A</v>
      </c>
      <c r="I5">
        <f t="shared" si="2"/>
        <v>2</v>
      </c>
      <c r="J5">
        <f t="shared" si="3"/>
        <v>0</v>
      </c>
      <c r="K5">
        <f t="shared" si="4"/>
        <v>0</v>
      </c>
      <c r="L5">
        <f t="shared" si="5"/>
        <v>0</v>
      </c>
      <c r="M5" t="b">
        <f t="shared" ca="1" si="6"/>
        <v>0</v>
      </c>
      <c r="N5" t="b">
        <f t="shared" ca="1" si="7"/>
        <v>1</v>
      </c>
      <c r="O5" t="b">
        <f t="shared" ca="1" si="8"/>
        <v>0</v>
      </c>
      <c r="P5">
        <f t="shared" ca="1" si="9"/>
        <v>0</v>
      </c>
      <c r="Q5" t="b">
        <f t="shared" si="10"/>
        <v>0</v>
      </c>
      <c r="R5" t="b">
        <f t="shared" si="11"/>
        <v>0</v>
      </c>
      <c r="S5">
        <f t="shared" ca="1" si="12"/>
        <v>0</v>
      </c>
      <c r="T5" s="6">
        <f t="shared" ca="1" si="13"/>
        <v>1</v>
      </c>
      <c r="U5">
        <f>MATCH(U$2,Spieltage!$C$18:$C$26,0)+17</f>
        <v>19</v>
      </c>
      <c r="V5" t="e">
        <f>MATCH(U$2,Spieltage!$E$18:$E$26,0)+17</f>
        <v>#N/A</v>
      </c>
      <c r="W5">
        <f t="shared" si="14"/>
        <v>19</v>
      </c>
      <c r="X5">
        <f ca="1">INDIRECT("Spieltage!$F"&amp;'i2'!W5)</f>
        <v>0</v>
      </c>
      <c r="Y5" s="35" t="s">
        <v>12</v>
      </c>
      <c r="Z5" s="97">
        <f ca="1">INDIRECT("Spieltage!$H"&amp;'i2'!W5)</f>
        <v>0</v>
      </c>
      <c r="AA5" t="str">
        <f t="shared" si="15"/>
        <v>H</v>
      </c>
      <c r="AB5">
        <f t="shared" si="16"/>
        <v>1</v>
      </c>
      <c r="AC5" t="b">
        <f t="shared" ca="1" si="17"/>
        <v>0</v>
      </c>
      <c r="AD5" t="b">
        <f t="shared" ca="1" si="18"/>
        <v>1</v>
      </c>
      <c r="AE5" t="b">
        <f t="shared" ca="1" si="19"/>
        <v>0</v>
      </c>
      <c r="AF5">
        <f t="shared" si="20"/>
        <v>0</v>
      </c>
      <c r="AG5">
        <f t="shared" si="21"/>
        <v>0</v>
      </c>
      <c r="AH5">
        <f t="shared" si="22"/>
        <v>0</v>
      </c>
      <c r="AI5">
        <f t="shared" ca="1" si="23"/>
        <v>0</v>
      </c>
      <c r="AJ5">
        <f t="shared" ca="1" si="24"/>
        <v>0</v>
      </c>
      <c r="AK5">
        <f t="shared" ca="1" si="25"/>
        <v>1</v>
      </c>
      <c r="AL5" t="b">
        <f t="shared" si="26"/>
        <v>0</v>
      </c>
      <c r="AM5" s="6" t="b">
        <f t="shared" si="27"/>
        <v>0</v>
      </c>
      <c r="AN5" t="e">
        <f>MATCH(AN$2,Spieltage!$C$18:$C$26,0)+17</f>
        <v>#N/A</v>
      </c>
      <c r="AO5">
        <f>MATCH(AN$2,Spieltage!$E$18:$E$26,0)+17</f>
        <v>20</v>
      </c>
      <c r="AP5">
        <f t="shared" si="28"/>
        <v>20</v>
      </c>
      <c r="AQ5">
        <f ca="1">INDIRECT("Spieltage!$F"&amp;'i2'!AP5)</f>
        <v>0</v>
      </c>
      <c r="AR5" s="35" t="s">
        <v>12</v>
      </c>
      <c r="AS5" s="97">
        <f ca="1">INDIRECT("Spieltage!$H"&amp;'i2'!AP5)</f>
        <v>0</v>
      </c>
      <c r="AT5" t="str">
        <f t="shared" si="29"/>
        <v>A</v>
      </c>
      <c r="AU5">
        <f t="shared" si="30"/>
        <v>2</v>
      </c>
      <c r="AV5">
        <f t="shared" si="31"/>
        <v>0</v>
      </c>
      <c r="AW5">
        <f t="shared" si="32"/>
        <v>0</v>
      </c>
      <c r="AX5">
        <f t="shared" si="33"/>
        <v>0</v>
      </c>
      <c r="AY5" t="b">
        <f t="shared" ca="1" si="34"/>
        <v>0</v>
      </c>
      <c r="AZ5" t="b">
        <f t="shared" ca="1" si="35"/>
        <v>1</v>
      </c>
      <c r="BA5" t="b">
        <f t="shared" ca="1" si="36"/>
        <v>0</v>
      </c>
      <c r="BB5">
        <f t="shared" ca="1" si="37"/>
        <v>0</v>
      </c>
      <c r="BC5" t="b">
        <f t="shared" si="38"/>
        <v>0</v>
      </c>
      <c r="BD5" t="b">
        <f t="shared" si="39"/>
        <v>0</v>
      </c>
      <c r="BE5">
        <f t="shared" ca="1" si="40"/>
        <v>0</v>
      </c>
      <c r="BF5" s="6">
        <f t="shared" ca="1" si="41"/>
        <v>1</v>
      </c>
      <c r="BG5">
        <f>MATCH(BG$2,Spieltage!$C$18:$C$26,0)+17</f>
        <v>24</v>
      </c>
      <c r="BH5" t="e">
        <f>MATCH(BG$2,Spieltage!$E$18:$E$26,0)+17</f>
        <v>#N/A</v>
      </c>
      <c r="BI5">
        <f t="shared" si="42"/>
        <v>24</v>
      </c>
      <c r="BJ5">
        <f ca="1">INDIRECT("Spieltage!$F"&amp;'i2'!BI5)</f>
        <v>0</v>
      </c>
      <c r="BK5" s="35" t="s">
        <v>12</v>
      </c>
      <c r="BL5" s="97">
        <f ca="1">INDIRECT("Spieltage!$H"&amp;'i2'!BI5)</f>
        <v>0</v>
      </c>
      <c r="BM5" t="str">
        <f t="shared" si="43"/>
        <v>H</v>
      </c>
      <c r="BN5">
        <f t="shared" si="44"/>
        <v>1</v>
      </c>
      <c r="BO5" t="b">
        <f t="shared" ca="1" si="45"/>
        <v>0</v>
      </c>
      <c r="BP5" t="b">
        <f t="shared" ca="1" si="46"/>
        <v>1</v>
      </c>
      <c r="BQ5" t="b">
        <f t="shared" ca="1" si="47"/>
        <v>0</v>
      </c>
      <c r="BR5">
        <f t="shared" si="48"/>
        <v>0</v>
      </c>
      <c r="BS5">
        <f t="shared" si="49"/>
        <v>0</v>
      </c>
      <c r="BT5">
        <f t="shared" si="50"/>
        <v>0</v>
      </c>
      <c r="BU5">
        <f t="shared" ca="1" si="51"/>
        <v>0</v>
      </c>
      <c r="BV5">
        <f t="shared" ca="1" si="52"/>
        <v>0</v>
      </c>
      <c r="BW5">
        <f t="shared" ca="1" si="53"/>
        <v>1</v>
      </c>
      <c r="BX5" t="b">
        <f t="shared" si="54"/>
        <v>0</v>
      </c>
      <c r="BY5" s="6" t="b">
        <f t="shared" si="55"/>
        <v>0</v>
      </c>
      <c r="BZ5" t="e">
        <f>MATCH(BZ$2,Spieltage!$C$18:$C$26,0)+17</f>
        <v>#N/A</v>
      </c>
      <c r="CA5">
        <f>MATCH(BZ$2,Spieltage!$E$18:$E$26,0)+17</f>
        <v>24</v>
      </c>
      <c r="CB5">
        <f t="shared" si="56"/>
        <v>24</v>
      </c>
      <c r="CC5">
        <f ca="1">INDIRECT("Spieltage!$F"&amp;'i2'!CB5)</f>
        <v>0</v>
      </c>
      <c r="CD5" s="35" t="s">
        <v>12</v>
      </c>
      <c r="CE5" s="97">
        <f ca="1">INDIRECT("Spieltage!$H"&amp;'i2'!CB5)</f>
        <v>0</v>
      </c>
      <c r="CF5" t="str">
        <f t="shared" si="57"/>
        <v>A</v>
      </c>
      <c r="CG5">
        <f t="shared" si="58"/>
        <v>2</v>
      </c>
      <c r="CH5">
        <f t="shared" si="59"/>
        <v>0</v>
      </c>
      <c r="CI5">
        <f t="shared" si="60"/>
        <v>0</v>
      </c>
      <c r="CJ5">
        <f t="shared" si="61"/>
        <v>0</v>
      </c>
      <c r="CK5" t="b">
        <f t="shared" ca="1" si="62"/>
        <v>0</v>
      </c>
      <c r="CL5" t="b">
        <f t="shared" ca="1" si="63"/>
        <v>1</v>
      </c>
      <c r="CM5" t="b">
        <f t="shared" ca="1" si="64"/>
        <v>0</v>
      </c>
      <c r="CN5">
        <f t="shared" ca="1" si="65"/>
        <v>0</v>
      </c>
      <c r="CO5" t="b">
        <f t="shared" si="66"/>
        <v>0</v>
      </c>
      <c r="CP5" t="b">
        <f t="shared" si="67"/>
        <v>0</v>
      </c>
      <c r="CQ5">
        <f t="shared" ca="1" si="68"/>
        <v>0</v>
      </c>
      <c r="CR5" s="6">
        <f t="shared" ca="1" si="69"/>
        <v>1</v>
      </c>
      <c r="CS5">
        <f>MATCH(CS$2,Spieltage!$C$18:$C$26,0)+17</f>
        <v>20</v>
      </c>
      <c r="CT5" t="e">
        <f>MATCH(CS$2,Spieltage!$E$18:$E$26,0)+17</f>
        <v>#N/A</v>
      </c>
      <c r="CU5">
        <f t="shared" si="70"/>
        <v>20</v>
      </c>
      <c r="CV5">
        <f ca="1">INDIRECT("Spieltage!$F"&amp;'i2'!CU5)</f>
        <v>0</v>
      </c>
      <c r="CW5" s="35" t="s">
        <v>12</v>
      </c>
      <c r="CX5" s="97">
        <f ca="1">INDIRECT("Spieltage!$H"&amp;'i2'!CU5)</f>
        <v>0</v>
      </c>
      <c r="CY5" t="str">
        <f t="shared" si="71"/>
        <v>H</v>
      </c>
      <c r="CZ5">
        <f t="shared" si="72"/>
        <v>1</v>
      </c>
      <c r="DA5" t="b">
        <f t="shared" ca="1" si="73"/>
        <v>0</v>
      </c>
      <c r="DB5" t="b">
        <f t="shared" ca="1" si="74"/>
        <v>1</v>
      </c>
      <c r="DC5" t="b">
        <f t="shared" ca="1" si="75"/>
        <v>0</v>
      </c>
      <c r="DD5">
        <f t="shared" si="76"/>
        <v>0</v>
      </c>
      <c r="DE5">
        <f t="shared" si="77"/>
        <v>0</v>
      </c>
      <c r="DF5">
        <f t="shared" si="78"/>
        <v>0</v>
      </c>
      <c r="DG5">
        <f t="shared" ca="1" si="79"/>
        <v>0</v>
      </c>
      <c r="DH5">
        <f t="shared" ca="1" si="80"/>
        <v>0</v>
      </c>
      <c r="DI5">
        <f t="shared" ca="1" si="81"/>
        <v>1</v>
      </c>
      <c r="DJ5" t="b">
        <f t="shared" si="82"/>
        <v>0</v>
      </c>
      <c r="DK5" s="6" t="b">
        <f t="shared" si="83"/>
        <v>0</v>
      </c>
      <c r="DL5" t="e">
        <f>MATCH(DL$2,Spieltage!$C$18:$C$26,0)+17</f>
        <v>#N/A</v>
      </c>
      <c r="DM5">
        <f>MATCH(DL$2,Spieltage!$E$18:$E$26,0)+17</f>
        <v>25</v>
      </c>
      <c r="DN5">
        <f t="shared" si="84"/>
        <v>25</v>
      </c>
      <c r="DO5">
        <f ca="1">INDIRECT("Spieltage!$F"&amp;'i2'!DN5)</f>
        <v>0</v>
      </c>
      <c r="DP5" s="35" t="s">
        <v>12</v>
      </c>
      <c r="DQ5" s="97">
        <f ca="1">INDIRECT("Spieltage!$H"&amp;'i2'!DN5)</f>
        <v>0</v>
      </c>
      <c r="DR5" t="str">
        <f t="shared" si="85"/>
        <v>A</v>
      </c>
      <c r="DS5">
        <f t="shared" si="86"/>
        <v>2</v>
      </c>
      <c r="DT5">
        <f t="shared" si="87"/>
        <v>0</v>
      </c>
      <c r="DU5">
        <f t="shared" si="88"/>
        <v>0</v>
      </c>
      <c r="DV5">
        <f t="shared" si="89"/>
        <v>0</v>
      </c>
      <c r="DW5" t="b">
        <f t="shared" ca="1" si="90"/>
        <v>0</v>
      </c>
      <c r="DX5" t="b">
        <f t="shared" ca="1" si="91"/>
        <v>1</v>
      </c>
      <c r="DY5" t="b">
        <f t="shared" ca="1" si="92"/>
        <v>0</v>
      </c>
      <c r="DZ5">
        <f t="shared" ca="1" si="93"/>
        <v>0</v>
      </c>
      <c r="EA5" t="b">
        <f t="shared" si="94"/>
        <v>0</v>
      </c>
      <c r="EB5" t="b">
        <f t="shared" si="95"/>
        <v>0</v>
      </c>
      <c r="EC5">
        <f t="shared" ca="1" si="96"/>
        <v>0</v>
      </c>
      <c r="ED5" s="6">
        <f t="shared" ca="1" si="97"/>
        <v>1</v>
      </c>
      <c r="EE5">
        <f>MATCH(EE$2,Spieltage!$C$18:$C$26,0)+17</f>
        <v>23</v>
      </c>
      <c r="EF5" t="e">
        <f>MATCH(EE$2,Spieltage!$E$18:$E$26,0)+17</f>
        <v>#N/A</v>
      </c>
      <c r="EG5">
        <f t="shared" si="98"/>
        <v>23</v>
      </c>
      <c r="EH5">
        <f ca="1">INDIRECT("Spieltage!$F"&amp;'i2'!EG5)</f>
        <v>0</v>
      </c>
      <c r="EI5" s="35" t="s">
        <v>12</v>
      </c>
      <c r="EJ5" s="97">
        <f ca="1">INDIRECT("Spieltage!$H"&amp;'i2'!EG5)</f>
        <v>0</v>
      </c>
      <c r="EK5" t="str">
        <f t="shared" si="99"/>
        <v>H</v>
      </c>
      <c r="EL5">
        <f t="shared" si="100"/>
        <v>1</v>
      </c>
      <c r="EM5" t="b">
        <f t="shared" ca="1" si="101"/>
        <v>0</v>
      </c>
      <c r="EN5" t="b">
        <f t="shared" ca="1" si="102"/>
        <v>1</v>
      </c>
      <c r="EO5" t="b">
        <f t="shared" ca="1" si="103"/>
        <v>0</v>
      </c>
      <c r="EP5">
        <f t="shared" si="104"/>
        <v>0</v>
      </c>
      <c r="EQ5">
        <f t="shared" si="105"/>
        <v>0</v>
      </c>
      <c r="ER5">
        <f t="shared" si="106"/>
        <v>0</v>
      </c>
      <c r="ES5">
        <f t="shared" ca="1" si="107"/>
        <v>0</v>
      </c>
      <c r="ET5">
        <f t="shared" ca="1" si="108"/>
        <v>0</v>
      </c>
      <c r="EU5">
        <f t="shared" ca="1" si="109"/>
        <v>1</v>
      </c>
      <c r="EV5" t="b">
        <f t="shared" si="110"/>
        <v>0</v>
      </c>
      <c r="EW5" s="6" t="b">
        <f t="shared" si="111"/>
        <v>0</v>
      </c>
      <c r="EX5" t="e">
        <f>MATCH(EX$2,Spieltage!$C$18:$C$26,0)+17</f>
        <v>#N/A</v>
      </c>
      <c r="EY5">
        <f>MATCH(EX$2,Spieltage!$E$18:$E$26,0)+17</f>
        <v>22</v>
      </c>
      <c r="EZ5">
        <f t="shared" si="112"/>
        <v>22</v>
      </c>
      <c r="FA5">
        <f ca="1">INDIRECT("Spieltage!$F"&amp;'i2'!EZ5)</f>
        <v>0</v>
      </c>
      <c r="FB5" s="35" t="s">
        <v>12</v>
      </c>
      <c r="FC5" s="97">
        <f ca="1">INDIRECT("Spieltage!$H"&amp;'i2'!EZ5)</f>
        <v>0</v>
      </c>
      <c r="FD5" t="str">
        <f t="shared" si="113"/>
        <v>A</v>
      </c>
      <c r="FE5">
        <f t="shared" si="114"/>
        <v>2</v>
      </c>
      <c r="FF5">
        <f t="shared" si="115"/>
        <v>0</v>
      </c>
      <c r="FG5">
        <f t="shared" si="116"/>
        <v>0</v>
      </c>
      <c r="FH5">
        <f t="shared" si="117"/>
        <v>0</v>
      </c>
      <c r="FI5" t="b">
        <f t="shared" ca="1" si="118"/>
        <v>0</v>
      </c>
      <c r="FJ5" t="b">
        <f t="shared" ca="1" si="119"/>
        <v>1</v>
      </c>
      <c r="FK5" t="b">
        <f t="shared" ca="1" si="120"/>
        <v>0</v>
      </c>
      <c r="FL5">
        <f t="shared" ca="1" si="121"/>
        <v>0</v>
      </c>
      <c r="FM5" t="b">
        <f t="shared" si="122"/>
        <v>0</v>
      </c>
      <c r="FN5" t="b">
        <f t="shared" si="123"/>
        <v>0</v>
      </c>
      <c r="FO5">
        <f t="shared" ca="1" si="124"/>
        <v>0</v>
      </c>
      <c r="FP5" s="6">
        <f t="shared" ca="1" si="125"/>
        <v>1</v>
      </c>
      <c r="FQ5">
        <f>MATCH(FQ$2,Spieltage!$C$18:$C$26,0)+17</f>
        <v>25</v>
      </c>
      <c r="FR5" t="e">
        <f>MATCH(FQ$2,Spieltage!$E$18:$E$26,0)+17</f>
        <v>#N/A</v>
      </c>
      <c r="FS5">
        <f t="shared" si="126"/>
        <v>25</v>
      </c>
      <c r="FT5">
        <f ca="1">INDIRECT("Spieltage!$F"&amp;'i2'!FS5)</f>
        <v>0</v>
      </c>
      <c r="FU5" s="35" t="s">
        <v>12</v>
      </c>
      <c r="FV5" s="97">
        <f ca="1">INDIRECT("Spieltage!$H"&amp;'i2'!FS5)</f>
        <v>0</v>
      </c>
      <c r="FW5" t="str">
        <f t="shared" si="127"/>
        <v>H</v>
      </c>
      <c r="FX5">
        <f t="shared" si="128"/>
        <v>1</v>
      </c>
      <c r="FY5" t="b">
        <f t="shared" ca="1" si="129"/>
        <v>0</v>
      </c>
      <c r="FZ5" t="b">
        <f t="shared" ca="1" si="130"/>
        <v>1</v>
      </c>
      <c r="GA5" t="b">
        <f t="shared" ca="1" si="131"/>
        <v>0</v>
      </c>
      <c r="GB5">
        <f t="shared" si="132"/>
        <v>0</v>
      </c>
      <c r="GC5">
        <f t="shared" si="133"/>
        <v>0</v>
      </c>
      <c r="GD5">
        <f t="shared" si="134"/>
        <v>0</v>
      </c>
      <c r="GE5">
        <f t="shared" ca="1" si="135"/>
        <v>0</v>
      </c>
      <c r="GF5">
        <f t="shared" ca="1" si="136"/>
        <v>0</v>
      </c>
      <c r="GG5">
        <f t="shared" ca="1" si="137"/>
        <v>1</v>
      </c>
      <c r="GH5" t="b">
        <f t="shared" si="138"/>
        <v>0</v>
      </c>
      <c r="GI5" s="6" t="b">
        <f t="shared" si="139"/>
        <v>0</v>
      </c>
      <c r="GJ5" t="e">
        <f>MATCH(GJ$2,Spieltage!$C$18:$C$26,0)+17</f>
        <v>#N/A</v>
      </c>
      <c r="GK5">
        <f>MATCH(GJ$2,Spieltage!$E$18:$E$26,0)+17</f>
        <v>21</v>
      </c>
      <c r="GL5">
        <f t="shared" si="140"/>
        <v>21</v>
      </c>
      <c r="GM5">
        <f ca="1">INDIRECT("Spieltage!$F"&amp;'i2'!GL5)</f>
        <v>0</v>
      </c>
      <c r="GN5" s="35" t="s">
        <v>12</v>
      </c>
      <c r="GO5" s="97">
        <f ca="1">INDIRECT("Spieltage!$H"&amp;'i2'!GL5)</f>
        <v>0</v>
      </c>
      <c r="GP5" t="str">
        <f t="shared" si="141"/>
        <v>A</v>
      </c>
      <c r="GQ5">
        <f t="shared" si="142"/>
        <v>2</v>
      </c>
      <c r="GR5">
        <f t="shared" si="143"/>
        <v>0</v>
      </c>
      <c r="GS5">
        <f t="shared" si="144"/>
        <v>0</v>
      </c>
      <c r="GT5">
        <f t="shared" si="145"/>
        <v>0</v>
      </c>
      <c r="GU5" t="b">
        <f t="shared" ca="1" si="146"/>
        <v>0</v>
      </c>
      <c r="GV5" t="b">
        <f t="shared" ca="1" si="147"/>
        <v>1</v>
      </c>
      <c r="GW5" t="b">
        <f t="shared" ca="1" si="148"/>
        <v>0</v>
      </c>
      <c r="GX5">
        <f t="shared" ca="1" si="149"/>
        <v>0</v>
      </c>
      <c r="GY5" t="b">
        <f t="shared" si="150"/>
        <v>0</v>
      </c>
      <c r="GZ5" t="b">
        <f t="shared" si="151"/>
        <v>0</v>
      </c>
      <c r="HA5">
        <f t="shared" ca="1" si="152"/>
        <v>0</v>
      </c>
      <c r="HB5" s="6">
        <f t="shared" ca="1" si="153"/>
        <v>1</v>
      </c>
      <c r="HC5">
        <f>MATCH(HC$2,Spieltage!$C$18:$C$26,0)+17</f>
        <v>26</v>
      </c>
      <c r="HD5" t="e">
        <f>MATCH(HC$2,Spieltage!$E$18:$E$26,0)+17</f>
        <v>#N/A</v>
      </c>
      <c r="HE5">
        <f t="shared" si="154"/>
        <v>26</v>
      </c>
      <c r="HF5">
        <f ca="1">INDIRECT("Spieltage!$F"&amp;'i2'!HE5)</f>
        <v>0</v>
      </c>
      <c r="HG5" s="35" t="s">
        <v>12</v>
      </c>
      <c r="HH5" s="97">
        <f ca="1">INDIRECT("Spieltage!$H"&amp;'i2'!HE5)</f>
        <v>0</v>
      </c>
      <c r="HI5" t="str">
        <f t="shared" si="155"/>
        <v>H</v>
      </c>
      <c r="HJ5">
        <f t="shared" si="156"/>
        <v>1</v>
      </c>
      <c r="HK5" t="b">
        <f t="shared" ca="1" si="157"/>
        <v>0</v>
      </c>
      <c r="HL5" t="b">
        <f t="shared" ca="1" si="158"/>
        <v>1</v>
      </c>
      <c r="HM5" t="b">
        <f t="shared" ca="1" si="159"/>
        <v>0</v>
      </c>
      <c r="HN5">
        <f t="shared" si="160"/>
        <v>0</v>
      </c>
      <c r="HO5">
        <f t="shared" si="161"/>
        <v>0</v>
      </c>
      <c r="HP5">
        <f t="shared" si="162"/>
        <v>0</v>
      </c>
      <c r="HQ5">
        <f t="shared" ca="1" si="163"/>
        <v>0</v>
      </c>
      <c r="HR5">
        <f t="shared" ca="1" si="164"/>
        <v>0</v>
      </c>
      <c r="HS5">
        <f t="shared" ca="1" si="165"/>
        <v>1</v>
      </c>
      <c r="HT5" t="b">
        <f t="shared" si="166"/>
        <v>0</v>
      </c>
      <c r="HU5" s="6" t="b">
        <f t="shared" si="167"/>
        <v>0</v>
      </c>
      <c r="HV5" t="e">
        <f>MATCH(HV$2,Spieltage!$C$18:$C$26,0)+17</f>
        <v>#N/A</v>
      </c>
      <c r="HW5">
        <f>MATCH(HV$2,Spieltage!$E$18:$E$26,0)+17</f>
        <v>18</v>
      </c>
      <c r="HX5">
        <f t="shared" si="168"/>
        <v>18</v>
      </c>
      <c r="HY5">
        <f ca="1">INDIRECT("Spieltage!$F"&amp;'i2'!HX5)</f>
        <v>0</v>
      </c>
      <c r="HZ5" s="35" t="s">
        <v>12</v>
      </c>
      <c r="IA5" s="97">
        <f ca="1">INDIRECT("Spieltage!$H"&amp;'i2'!HX5)</f>
        <v>0</v>
      </c>
      <c r="IB5" t="str">
        <f t="shared" si="169"/>
        <v>A</v>
      </c>
      <c r="IC5">
        <f t="shared" si="170"/>
        <v>2</v>
      </c>
      <c r="ID5">
        <f t="shared" si="171"/>
        <v>0</v>
      </c>
      <c r="IE5">
        <f t="shared" si="172"/>
        <v>0</v>
      </c>
      <c r="IF5">
        <f t="shared" si="173"/>
        <v>0</v>
      </c>
      <c r="IG5" t="b">
        <f t="shared" ca="1" si="174"/>
        <v>0</v>
      </c>
      <c r="IH5" t="b">
        <f t="shared" ca="1" si="175"/>
        <v>1</v>
      </c>
      <c r="II5" t="b">
        <f t="shared" ca="1" si="176"/>
        <v>0</v>
      </c>
      <c r="IJ5">
        <f t="shared" ca="1" si="177"/>
        <v>0</v>
      </c>
      <c r="IK5" t="b">
        <f t="shared" si="178"/>
        <v>0</v>
      </c>
      <c r="IL5" t="b">
        <f t="shared" si="179"/>
        <v>0</v>
      </c>
      <c r="IM5">
        <f t="shared" ca="1" si="180"/>
        <v>0</v>
      </c>
      <c r="IN5" s="6">
        <f t="shared" ca="1" si="181"/>
        <v>1</v>
      </c>
      <c r="IO5">
        <f>MATCH(IO$2,Spieltage!$C$18:$C$26,0)+17</f>
        <v>21</v>
      </c>
      <c r="IP5" t="e">
        <f>MATCH(IO$2,Spieltage!$E$18:$E$26,0)+17</f>
        <v>#N/A</v>
      </c>
      <c r="IQ5">
        <f t="shared" si="182"/>
        <v>21</v>
      </c>
      <c r="IR5">
        <f ca="1">INDIRECT("Spieltage!$F"&amp;'i2'!IQ5)</f>
        <v>0</v>
      </c>
      <c r="IS5" s="35" t="s">
        <v>12</v>
      </c>
      <c r="IT5" s="97">
        <f ca="1">INDIRECT("Spieltage!$H"&amp;'i2'!IQ5)</f>
        <v>0</v>
      </c>
      <c r="IU5" t="str">
        <f t="shared" si="183"/>
        <v>H</v>
      </c>
      <c r="IV5">
        <f t="shared" si="184"/>
        <v>1</v>
      </c>
      <c r="IW5" t="b">
        <f t="shared" ca="1" si="185"/>
        <v>0</v>
      </c>
      <c r="IX5" t="b">
        <f t="shared" ca="1" si="186"/>
        <v>1</v>
      </c>
      <c r="IY5" t="b">
        <f t="shared" ca="1" si="187"/>
        <v>0</v>
      </c>
      <c r="IZ5">
        <f t="shared" si="188"/>
        <v>0</v>
      </c>
      <c r="JA5">
        <f t="shared" si="189"/>
        <v>0</v>
      </c>
      <c r="JB5">
        <f t="shared" si="190"/>
        <v>0</v>
      </c>
      <c r="JC5">
        <f t="shared" ca="1" si="191"/>
        <v>0</v>
      </c>
      <c r="JD5">
        <f t="shared" ca="1" si="192"/>
        <v>0</v>
      </c>
      <c r="JE5">
        <f t="shared" ca="1" si="193"/>
        <v>1</v>
      </c>
      <c r="JF5" t="b">
        <f t="shared" si="194"/>
        <v>0</v>
      </c>
      <c r="JG5" s="6" t="b">
        <f t="shared" si="195"/>
        <v>0</v>
      </c>
      <c r="JH5" t="e">
        <f>MATCH(JH$2,Spieltage!$C$18:$C$26,0)+17</f>
        <v>#N/A</v>
      </c>
      <c r="JI5">
        <f>MATCH(JH$2,Spieltage!$E$18:$E$26,0)+17</f>
        <v>26</v>
      </c>
      <c r="JJ5">
        <f t="shared" si="196"/>
        <v>26</v>
      </c>
      <c r="JK5">
        <f ca="1">INDIRECT("Spieltage!$F"&amp;'i2'!JJ5)</f>
        <v>0</v>
      </c>
      <c r="JL5" s="35" t="s">
        <v>12</v>
      </c>
      <c r="JM5" s="97">
        <f ca="1">INDIRECT("Spieltage!$H"&amp;'i2'!JJ5)</f>
        <v>0</v>
      </c>
      <c r="JN5" t="str">
        <f t="shared" si="197"/>
        <v>A</v>
      </c>
      <c r="JO5">
        <f t="shared" si="198"/>
        <v>2</v>
      </c>
      <c r="JP5">
        <f t="shared" si="199"/>
        <v>0</v>
      </c>
      <c r="JQ5">
        <f t="shared" si="200"/>
        <v>0</v>
      </c>
      <c r="JR5">
        <f t="shared" si="201"/>
        <v>0</v>
      </c>
      <c r="JS5" t="b">
        <f t="shared" ca="1" si="202"/>
        <v>0</v>
      </c>
      <c r="JT5" t="b">
        <f t="shared" ca="1" si="203"/>
        <v>1</v>
      </c>
      <c r="JU5" t="b">
        <f t="shared" ca="1" si="204"/>
        <v>0</v>
      </c>
      <c r="JV5">
        <f t="shared" ca="1" si="205"/>
        <v>0</v>
      </c>
      <c r="JW5" t="b">
        <f t="shared" si="206"/>
        <v>0</v>
      </c>
      <c r="JX5" t="b">
        <f t="shared" si="207"/>
        <v>0</v>
      </c>
      <c r="JY5">
        <f t="shared" ca="1" si="208"/>
        <v>0</v>
      </c>
      <c r="JZ5" s="6">
        <f t="shared" ca="1" si="209"/>
        <v>1</v>
      </c>
      <c r="KA5">
        <f>MATCH(KA$2,Spieltage!$C$18:$C$26,0)+17</f>
        <v>18</v>
      </c>
      <c r="KB5" t="e">
        <f>MATCH(KA$2,Spieltage!$E$18:$E$26,0)+17</f>
        <v>#N/A</v>
      </c>
      <c r="KC5">
        <f t="shared" si="210"/>
        <v>18</v>
      </c>
      <c r="KD5">
        <f ca="1">INDIRECT("Spieltage!$F"&amp;'i2'!KC5)</f>
        <v>0</v>
      </c>
      <c r="KE5" s="35" t="s">
        <v>12</v>
      </c>
      <c r="KF5" s="97">
        <f ca="1">INDIRECT("Spieltage!$H"&amp;'i2'!KC5)</f>
        <v>0</v>
      </c>
      <c r="KG5" t="str">
        <f t="shared" si="211"/>
        <v>H</v>
      </c>
      <c r="KH5">
        <f t="shared" si="212"/>
        <v>1</v>
      </c>
      <c r="KI5" t="b">
        <f t="shared" ca="1" si="213"/>
        <v>0</v>
      </c>
      <c r="KJ5" t="b">
        <f t="shared" ca="1" si="214"/>
        <v>1</v>
      </c>
      <c r="KK5" t="b">
        <f t="shared" ca="1" si="215"/>
        <v>0</v>
      </c>
      <c r="KL5">
        <f t="shared" si="216"/>
        <v>0</v>
      </c>
      <c r="KM5">
        <f t="shared" si="217"/>
        <v>0</v>
      </c>
      <c r="KN5">
        <f t="shared" si="218"/>
        <v>0</v>
      </c>
      <c r="KO5">
        <f t="shared" ca="1" si="219"/>
        <v>0</v>
      </c>
      <c r="KP5">
        <f t="shared" ca="1" si="220"/>
        <v>0</v>
      </c>
      <c r="KQ5">
        <f t="shared" ca="1" si="221"/>
        <v>1</v>
      </c>
      <c r="KR5" t="b">
        <f t="shared" si="222"/>
        <v>0</v>
      </c>
      <c r="KS5" s="6" t="b">
        <f t="shared" si="223"/>
        <v>0</v>
      </c>
      <c r="KT5" t="e">
        <f>MATCH(KT$2,Spieltage!$C$18:$C$26,0)+17</f>
        <v>#N/A</v>
      </c>
      <c r="KU5">
        <f>MATCH(KT$2,Spieltage!$E$18:$E$26,0)+17</f>
        <v>19</v>
      </c>
      <c r="KV5">
        <f t="shared" si="224"/>
        <v>19</v>
      </c>
      <c r="KW5">
        <f ca="1">INDIRECT("Spieltage!$F"&amp;'i2'!KV5)</f>
        <v>0</v>
      </c>
      <c r="KX5" s="35" t="s">
        <v>12</v>
      </c>
      <c r="KY5" s="97">
        <f ca="1">INDIRECT("Spieltage!$H"&amp;'i2'!KV5)</f>
        <v>0</v>
      </c>
      <c r="KZ5" t="str">
        <f t="shared" si="225"/>
        <v>A</v>
      </c>
      <c r="LA5">
        <f t="shared" si="226"/>
        <v>2</v>
      </c>
      <c r="LB5">
        <f t="shared" si="227"/>
        <v>0</v>
      </c>
      <c r="LC5">
        <f t="shared" si="228"/>
        <v>0</v>
      </c>
      <c r="LD5">
        <f t="shared" si="229"/>
        <v>0</v>
      </c>
      <c r="LE5" t="b">
        <f t="shared" ca="1" si="230"/>
        <v>0</v>
      </c>
      <c r="LF5" t="b">
        <f t="shared" ca="1" si="231"/>
        <v>1</v>
      </c>
      <c r="LG5" t="b">
        <f t="shared" ca="1" si="232"/>
        <v>0</v>
      </c>
      <c r="LH5">
        <f t="shared" ca="1" si="233"/>
        <v>0</v>
      </c>
      <c r="LI5" t="b">
        <f t="shared" si="234"/>
        <v>0</v>
      </c>
      <c r="LJ5" t="b">
        <f t="shared" si="235"/>
        <v>0</v>
      </c>
      <c r="LK5">
        <f t="shared" ca="1" si="236"/>
        <v>0</v>
      </c>
      <c r="LL5" s="6">
        <f t="shared" ca="1" si="237"/>
        <v>1</v>
      </c>
      <c r="LM5">
        <f>MATCH(LM$2,Spieltage!$C$18:$C$26,0)+17</f>
        <v>22</v>
      </c>
      <c r="LN5" t="e">
        <f>MATCH(LM$2,Spieltage!$E$18:$E$26,0)+17</f>
        <v>#N/A</v>
      </c>
      <c r="LO5">
        <f t="shared" si="238"/>
        <v>22</v>
      </c>
      <c r="LP5">
        <f ca="1">INDIRECT("Spieltage!$F"&amp;'i2'!LO5)</f>
        <v>0</v>
      </c>
      <c r="LQ5" s="35" t="s">
        <v>12</v>
      </c>
      <c r="LR5" s="97">
        <f ca="1">INDIRECT("Spieltage!$H"&amp;'i2'!LO5)</f>
        <v>0</v>
      </c>
      <c r="LS5" t="str">
        <f t="shared" si="239"/>
        <v>H</v>
      </c>
      <c r="LT5">
        <f t="shared" si="240"/>
        <v>1</v>
      </c>
      <c r="LU5" t="b">
        <f t="shared" ca="1" si="241"/>
        <v>0</v>
      </c>
      <c r="LV5" t="b">
        <f t="shared" ca="1" si="242"/>
        <v>1</v>
      </c>
      <c r="LW5" t="b">
        <f t="shared" ca="1" si="243"/>
        <v>0</v>
      </c>
      <c r="LX5">
        <f t="shared" si="244"/>
        <v>0</v>
      </c>
      <c r="LY5">
        <f t="shared" si="245"/>
        <v>0</v>
      </c>
      <c r="LZ5">
        <f t="shared" si="246"/>
        <v>0</v>
      </c>
      <c r="MA5">
        <f t="shared" ca="1" si="247"/>
        <v>0</v>
      </c>
      <c r="MB5">
        <f t="shared" ca="1" si="248"/>
        <v>0</v>
      </c>
      <c r="MC5">
        <f t="shared" ca="1" si="249"/>
        <v>1</v>
      </c>
      <c r="MD5" t="b">
        <f t="shared" si="250"/>
        <v>0</v>
      </c>
      <c r="ME5" s="6" t="b">
        <f t="shared" si="251"/>
        <v>0</v>
      </c>
    </row>
    <row r="6" spans="1:343" x14ac:dyDescent="0.2">
      <c r="A6" s="104" t="s">
        <v>155</v>
      </c>
      <c r="B6">
        <f>MATCH(B$2,Spieltage!$C$33:$C$41,0)+32</f>
        <v>33</v>
      </c>
      <c r="C6" t="e">
        <f>MATCH(B$2,Spieltage!$E$33:$E$41,0)+32</f>
        <v>#N/A</v>
      </c>
      <c r="D6">
        <f t="shared" si="0"/>
        <v>33</v>
      </c>
      <c r="E6">
        <f ca="1">INDIRECT("Spieltage!$F"&amp;'i2'!D6)</f>
        <v>0</v>
      </c>
      <c r="F6" s="35" t="s">
        <v>12</v>
      </c>
      <c r="G6" s="97">
        <f ca="1">INDIRECT("Spieltage!$H"&amp;'i2'!D6)</f>
        <v>0</v>
      </c>
      <c r="H6" t="str">
        <f t="shared" si="1"/>
        <v>H</v>
      </c>
      <c r="I6">
        <f t="shared" si="2"/>
        <v>1</v>
      </c>
      <c r="J6" t="b">
        <f t="shared" ca="1" si="3"/>
        <v>0</v>
      </c>
      <c r="K6" t="b">
        <f t="shared" ca="1" si="4"/>
        <v>1</v>
      </c>
      <c r="L6" t="b">
        <f t="shared" ca="1" si="5"/>
        <v>0</v>
      </c>
      <c r="M6">
        <f t="shared" si="6"/>
        <v>0</v>
      </c>
      <c r="N6">
        <f t="shared" si="7"/>
        <v>0</v>
      </c>
      <c r="O6">
        <f t="shared" si="8"/>
        <v>0</v>
      </c>
      <c r="P6">
        <f t="shared" ca="1" si="9"/>
        <v>0</v>
      </c>
      <c r="Q6">
        <f t="shared" ca="1" si="10"/>
        <v>0</v>
      </c>
      <c r="R6">
        <f t="shared" ca="1" si="11"/>
        <v>1</v>
      </c>
      <c r="S6" t="b">
        <f t="shared" si="12"/>
        <v>0</v>
      </c>
      <c r="T6" s="6" t="b">
        <f t="shared" si="13"/>
        <v>0</v>
      </c>
      <c r="U6" t="e">
        <f>MATCH(U$2,Spieltage!$C$33:$C$41,0)+32</f>
        <v>#N/A</v>
      </c>
      <c r="V6">
        <f>MATCH(U$2,Spieltage!$E$33:$E$41,0)+32</f>
        <v>36</v>
      </c>
      <c r="W6">
        <f t="shared" si="14"/>
        <v>36</v>
      </c>
      <c r="X6">
        <f ca="1">INDIRECT("Spieltage!$F"&amp;'i2'!W6)</f>
        <v>0</v>
      </c>
      <c r="Y6" s="35" t="s">
        <v>12</v>
      </c>
      <c r="Z6" s="97">
        <f ca="1">INDIRECT("Spieltage!$H"&amp;'i2'!W6)</f>
        <v>0</v>
      </c>
      <c r="AA6" t="str">
        <f t="shared" si="15"/>
        <v>A</v>
      </c>
      <c r="AB6">
        <f t="shared" si="16"/>
        <v>2</v>
      </c>
      <c r="AC6">
        <f t="shared" si="17"/>
        <v>0</v>
      </c>
      <c r="AD6">
        <f t="shared" si="18"/>
        <v>0</v>
      </c>
      <c r="AE6">
        <f t="shared" si="19"/>
        <v>0</v>
      </c>
      <c r="AF6" t="b">
        <f t="shared" ca="1" si="20"/>
        <v>0</v>
      </c>
      <c r="AG6" t="b">
        <f t="shared" ca="1" si="21"/>
        <v>1</v>
      </c>
      <c r="AH6" t="b">
        <f t="shared" ca="1" si="22"/>
        <v>0</v>
      </c>
      <c r="AI6">
        <f t="shared" ca="1" si="23"/>
        <v>0</v>
      </c>
      <c r="AJ6" t="b">
        <f t="shared" si="24"/>
        <v>0</v>
      </c>
      <c r="AK6" t="b">
        <f t="shared" si="25"/>
        <v>0</v>
      </c>
      <c r="AL6">
        <f t="shared" ca="1" si="26"/>
        <v>0</v>
      </c>
      <c r="AM6" s="6">
        <f t="shared" ca="1" si="27"/>
        <v>1</v>
      </c>
      <c r="AN6">
        <f>MATCH(AN$2,Spieltage!$C$33:$C$41,0)+32</f>
        <v>34</v>
      </c>
      <c r="AO6" t="e">
        <f>MATCH(AN$2,Spieltage!$E$33:$E$41,0)+32</f>
        <v>#N/A</v>
      </c>
      <c r="AP6">
        <f t="shared" si="28"/>
        <v>34</v>
      </c>
      <c r="AQ6">
        <f ca="1">INDIRECT("Spieltage!$F"&amp;'i2'!AP6)</f>
        <v>0</v>
      </c>
      <c r="AR6" s="35" t="s">
        <v>12</v>
      </c>
      <c r="AS6" s="97">
        <f ca="1">INDIRECT("Spieltage!$H"&amp;'i2'!AP6)</f>
        <v>0</v>
      </c>
      <c r="AT6" t="str">
        <f t="shared" si="29"/>
        <v>H</v>
      </c>
      <c r="AU6">
        <f t="shared" si="30"/>
        <v>1</v>
      </c>
      <c r="AV6" t="b">
        <f t="shared" ca="1" si="31"/>
        <v>0</v>
      </c>
      <c r="AW6" t="b">
        <f t="shared" ca="1" si="32"/>
        <v>1</v>
      </c>
      <c r="AX6" t="b">
        <f t="shared" ca="1" si="33"/>
        <v>0</v>
      </c>
      <c r="AY6">
        <f t="shared" si="34"/>
        <v>0</v>
      </c>
      <c r="AZ6">
        <f t="shared" si="35"/>
        <v>0</v>
      </c>
      <c r="BA6">
        <f t="shared" si="36"/>
        <v>0</v>
      </c>
      <c r="BB6">
        <f t="shared" ca="1" si="37"/>
        <v>0</v>
      </c>
      <c r="BC6">
        <f t="shared" ca="1" si="38"/>
        <v>0</v>
      </c>
      <c r="BD6">
        <f t="shared" ca="1" si="39"/>
        <v>1</v>
      </c>
      <c r="BE6" t="b">
        <f t="shared" si="40"/>
        <v>0</v>
      </c>
      <c r="BF6" s="6" t="b">
        <f t="shared" si="41"/>
        <v>0</v>
      </c>
      <c r="BG6" t="e">
        <f>MATCH(BG$2,Spieltage!$C$33:$C$41,0)+32</f>
        <v>#N/A</v>
      </c>
      <c r="BH6">
        <f>MATCH(BG$2,Spieltage!$E$33:$E$41,0)+32</f>
        <v>39</v>
      </c>
      <c r="BI6">
        <f t="shared" si="42"/>
        <v>39</v>
      </c>
      <c r="BJ6">
        <f ca="1">INDIRECT("Spieltage!$F"&amp;'i2'!BI6)</f>
        <v>0</v>
      </c>
      <c r="BK6" s="35" t="s">
        <v>12</v>
      </c>
      <c r="BL6" s="97">
        <f ca="1">INDIRECT("Spieltage!$H"&amp;'i2'!BI6)</f>
        <v>0</v>
      </c>
      <c r="BM6" t="str">
        <f t="shared" si="43"/>
        <v>A</v>
      </c>
      <c r="BN6">
        <f t="shared" si="44"/>
        <v>2</v>
      </c>
      <c r="BO6">
        <f t="shared" si="45"/>
        <v>0</v>
      </c>
      <c r="BP6">
        <f t="shared" si="46"/>
        <v>0</v>
      </c>
      <c r="BQ6">
        <f t="shared" si="47"/>
        <v>0</v>
      </c>
      <c r="BR6" t="b">
        <f t="shared" ca="1" si="48"/>
        <v>0</v>
      </c>
      <c r="BS6" t="b">
        <f t="shared" ca="1" si="49"/>
        <v>1</v>
      </c>
      <c r="BT6" t="b">
        <f t="shared" ca="1" si="50"/>
        <v>0</v>
      </c>
      <c r="BU6">
        <f t="shared" ca="1" si="51"/>
        <v>0</v>
      </c>
      <c r="BV6" t="b">
        <f t="shared" si="52"/>
        <v>0</v>
      </c>
      <c r="BW6" t="b">
        <f t="shared" si="53"/>
        <v>0</v>
      </c>
      <c r="BX6">
        <f t="shared" ca="1" si="54"/>
        <v>0</v>
      </c>
      <c r="BY6" s="6">
        <f t="shared" ca="1" si="55"/>
        <v>1</v>
      </c>
      <c r="BZ6" t="e">
        <f>MATCH(BZ$2,Spieltage!$C$33:$C$41,0)+32</f>
        <v>#N/A</v>
      </c>
      <c r="CA6">
        <f>MATCH(BZ$2,Spieltage!$E$33:$E$41,0)+32</f>
        <v>34</v>
      </c>
      <c r="CB6">
        <f t="shared" si="56"/>
        <v>34</v>
      </c>
      <c r="CC6">
        <f ca="1">INDIRECT("Spieltage!$F"&amp;'i2'!CB6)</f>
        <v>0</v>
      </c>
      <c r="CD6" s="35" t="s">
        <v>12</v>
      </c>
      <c r="CE6" s="97">
        <f ca="1">INDIRECT("Spieltage!$H"&amp;'i2'!CB6)</f>
        <v>0</v>
      </c>
      <c r="CF6" t="str">
        <f t="shared" si="57"/>
        <v>A</v>
      </c>
      <c r="CG6">
        <f t="shared" si="58"/>
        <v>2</v>
      </c>
      <c r="CH6">
        <f t="shared" si="59"/>
        <v>0</v>
      </c>
      <c r="CI6">
        <f t="shared" si="60"/>
        <v>0</v>
      </c>
      <c r="CJ6">
        <f t="shared" si="61"/>
        <v>0</v>
      </c>
      <c r="CK6" t="b">
        <f t="shared" ca="1" si="62"/>
        <v>0</v>
      </c>
      <c r="CL6" t="b">
        <f t="shared" ca="1" si="63"/>
        <v>1</v>
      </c>
      <c r="CM6" t="b">
        <f t="shared" ca="1" si="64"/>
        <v>0</v>
      </c>
      <c r="CN6">
        <f t="shared" ca="1" si="65"/>
        <v>0</v>
      </c>
      <c r="CO6" t="b">
        <f t="shared" si="66"/>
        <v>0</v>
      </c>
      <c r="CP6" t="b">
        <f t="shared" si="67"/>
        <v>0</v>
      </c>
      <c r="CQ6">
        <f t="shared" ca="1" si="68"/>
        <v>0</v>
      </c>
      <c r="CR6" s="6">
        <f t="shared" ca="1" si="69"/>
        <v>1</v>
      </c>
      <c r="CS6" t="e">
        <f>MATCH(CS$2,Spieltage!$C$33:$C$41,0)+32</f>
        <v>#N/A</v>
      </c>
      <c r="CT6">
        <f>MATCH(CS$2,Spieltage!$E$33:$E$41,0)+32</f>
        <v>37</v>
      </c>
      <c r="CU6">
        <f t="shared" si="70"/>
        <v>37</v>
      </c>
      <c r="CV6">
        <f ca="1">INDIRECT("Spieltage!$F"&amp;'i2'!CU6)</f>
        <v>0</v>
      </c>
      <c r="CW6" s="35" t="s">
        <v>12</v>
      </c>
      <c r="CX6" s="97">
        <f ca="1">INDIRECT("Spieltage!$H"&amp;'i2'!CU6)</f>
        <v>0</v>
      </c>
      <c r="CY6" t="str">
        <f t="shared" si="71"/>
        <v>A</v>
      </c>
      <c r="CZ6">
        <f t="shared" si="72"/>
        <v>2</v>
      </c>
      <c r="DA6">
        <f t="shared" si="73"/>
        <v>0</v>
      </c>
      <c r="DB6">
        <f t="shared" si="74"/>
        <v>0</v>
      </c>
      <c r="DC6">
        <f t="shared" si="75"/>
        <v>0</v>
      </c>
      <c r="DD6" t="b">
        <f t="shared" ca="1" si="76"/>
        <v>0</v>
      </c>
      <c r="DE6" t="b">
        <f t="shared" ca="1" si="77"/>
        <v>1</v>
      </c>
      <c r="DF6" t="b">
        <f t="shared" ca="1" si="78"/>
        <v>0</v>
      </c>
      <c r="DG6">
        <f t="shared" ca="1" si="79"/>
        <v>0</v>
      </c>
      <c r="DH6" t="b">
        <f t="shared" si="80"/>
        <v>0</v>
      </c>
      <c r="DI6" t="b">
        <f t="shared" si="81"/>
        <v>0</v>
      </c>
      <c r="DJ6">
        <f t="shared" ca="1" si="82"/>
        <v>0</v>
      </c>
      <c r="DK6" s="6">
        <f t="shared" ca="1" si="83"/>
        <v>1</v>
      </c>
      <c r="DL6">
        <f>MATCH(DL$2,Spieltage!$C$33:$C$41,0)+32</f>
        <v>35</v>
      </c>
      <c r="DM6" t="e">
        <f>MATCH(DL$2,Spieltage!$E$33:$E$41,0)+32</f>
        <v>#N/A</v>
      </c>
      <c r="DN6">
        <f t="shared" si="84"/>
        <v>35</v>
      </c>
      <c r="DO6">
        <f ca="1">INDIRECT("Spieltage!$F"&amp;'i2'!DN6)</f>
        <v>0</v>
      </c>
      <c r="DP6" s="35" t="s">
        <v>12</v>
      </c>
      <c r="DQ6" s="97">
        <f ca="1">INDIRECT("Spieltage!$H"&amp;'i2'!DN6)</f>
        <v>0</v>
      </c>
      <c r="DR6" t="str">
        <f t="shared" si="85"/>
        <v>H</v>
      </c>
      <c r="DS6">
        <f t="shared" si="86"/>
        <v>1</v>
      </c>
      <c r="DT6" t="b">
        <f t="shared" ca="1" si="87"/>
        <v>0</v>
      </c>
      <c r="DU6" t="b">
        <f t="shared" ca="1" si="88"/>
        <v>1</v>
      </c>
      <c r="DV6" t="b">
        <f t="shared" ca="1" si="89"/>
        <v>0</v>
      </c>
      <c r="DW6">
        <f t="shared" si="90"/>
        <v>0</v>
      </c>
      <c r="DX6">
        <f t="shared" si="91"/>
        <v>0</v>
      </c>
      <c r="DY6">
        <f t="shared" si="92"/>
        <v>0</v>
      </c>
      <c r="DZ6">
        <f t="shared" ca="1" si="93"/>
        <v>0</v>
      </c>
      <c r="EA6">
        <f t="shared" ca="1" si="94"/>
        <v>0</v>
      </c>
      <c r="EB6">
        <f t="shared" ca="1" si="95"/>
        <v>1</v>
      </c>
      <c r="EC6" t="b">
        <f t="shared" si="96"/>
        <v>0</v>
      </c>
      <c r="ED6" s="6" t="b">
        <f t="shared" si="97"/>
        <v>0</v>
      </c>
      <c r="EE6" t="e">
        <f>MATCH(EE$2,Spieltage!$C$33:$C$41,0)+32</f>
        <v>#N/A</v>
      </c>
      <c r="EF6">
        <f>MATCH(EE$2,Spieltage!$E$33:$E$41,0)+32</f>
        <v>40</v>
      </c>
      <c r="EG6">
        <f t="shared" si="98"/>
        <v>40</v>
      </c>
      <c r="EH6">
        <f ca="1">INDIRECT("Spieltage!$F"&amp;'i2'!EG6)</f>
        <v>0</v>
      </c>
      <c r="EI6" s="35" t="s">
        <v>12</v>
      </c>
      <c r="EJ6" s="97">
        <f ca="1">INDIRECT("Spieltage!$H"&amp;'i2'!EG6)</f>
        <v>0</v>
      </c>
      <c r="EK6" t="str">
        <f t="shared" si="99"/>
        <v>A</v>
      </c>
      <c r="EL6">
        <f t="shared" si="100"/>
        <v>2</v>
      </c>
      <c r="EM6">
        <f t="shared" si="101"/>
        <v>0</v>
      </c>
      <c r="EN6">
        <f t="shared" si="102"/>
        <v>0</v>
      </c>
      <c r="EO6">
        <f t="shared" si="103"/>
        <v>0</v>
      </c>
      <c r="EP6" t="b">
        <f t="shared" ca="1" si="104"/>
        <v>0</v>
      </c>
      <c r="EQ6" t="b">
        <f t="shared" ca="1" si="105"/>
        <v>1</v>
      </c>
      <c r="ER6" t="b">
        <f t="shared" ca="1" si="106"/>
        <v>0</v>
      </c>
      <c r="ES6">
        <f t="shared" ca="1" si="107"/>
        <v>0</v>
      </c>
      <c r="ET6" t="b">
        <f t="shared" si="108"/>
        <v>0</v>
      </c>
      <c r="EU6" t="b">
        <f t="shared" si="109"/>
        <v>0</v>
      </c>
      <c r="EV6">
        <f t="shared" ca="1" si="110"/>
        <v>0</v>
      </c>
      <c r="EW6" s="6">
        <f t="shared" ca="1" si="111"/>
        <v>1</v>
      </c>
      <c r="EX6">
        <f>MATCH(EX$2,Spieltage!$C$33:$C$41,0)+32</f>
        <v>36</v>
      </c>
      <c r="EY6" t="e">
        <f>MATCH(EX$2,Spieltage!$E$33:$E$41,0)+32</f>
        <v>#N/A</v>
      </c>
      <c r="EZ6">
        <f t="shared" si="112"/>
        <v>36</v>
      </c>
      <c r="FA6">
        <f ca="1">INDIRECT("Spieltage!$F"&amp;'i2'!EZ6)</f>
        <v>0</v>
      </c>
      <c r="FB6" s="35" t="s">
        <v>12</v>
      </c>
      <c r="FC6" s="97">
        <f ca="1">INDIRECT("Spieltage!$H"&amp;'i2'!EZ6)</f>
        <v>0</v>
      </c>
      <c r="FD6" t="str">
        <f t="shared" si="113"/>
        <v>H</v>
      </c>
      <c r="FE6">
        <f t="shared" si="114"/>
        <v>1</v>
      </c>
      <c r="FF6" t="b">
        <f t="shared" ca="1" si="115"/>
        <v>0</v>
      </c>
      <c r="FG6" t="b">
        <f t="shared" ca="1" si="116"/>
        <v>1</v>
      </c>
      <c r="FH6" t="b">
        <f t="shared" ca="1" si="117"/>
        <v>0</v>
      </c>
      <c r="FI6">
        <f t="shared" si="118"/>
        <v>0</v>
      </c>
      <c r="FJ6">
        <f t="shared" si="119"/>
        <v>0</v>
      </c>
      <c r="FK6">
        <f t="shared" si="120"/>
        <v>0</v>
      </c>
      <c r="FL6">
        <f t="shared" ca="1" si="121"/>
        <v>0</v>
      </c>
      <c r="FM6">
        <f t="shared" ca="1" si="122"/>
        <v>0</v>
      </c>
      <c r="FN6">
        <f t="shared" ca="1" si="123"/>
        <v>1</v>
      </c>
      <c r="FO6" t="b">
        <f t="shared" si="124"/>
        <v>0</v>
      </c>
      <c r="FP6" s="6" t="b">
        <f t="shared" si="125"/>
        <v>0</v>
      </c>
      <c r="FQ6" t="e">
        <f>MATCH(FQ$2,Spieltage!$C$33:$C$41,0)+32</f>
        <v>#N/A</v>
      </c>
      <c r="FR6">
        <f>MATCH(FQ$2,Spieltage!$E$33:$E$41,0)+32</f>
        <v>38</v>
      </c>
      <c r="FS6">
        <f t="shared" si="126"/>
        <v>38</v>
      </c>
      <c r="FT6">
        <f ca="1">INDIRECT("Spieltage!$F"&amp;'i2'!FS6)</f>
        <v>0</v>
      </c>
      <c r="FU6" s="35" t="s">
        <v>12</v>
      </c>
      <c r="FV6" s="97">
        <f ca="1">INDIRECT("Spieltage!$H"&amp;'i2'!FS6)</f>
        <v>0</v>
      </c>
      <c r="FW6" t="str">
        <f t="shared" si="127"/>
        <v>A</v>
      </c>
      <c r="FX6">
        <f t="shared" si="128"/>
        <v>2</v>
      </c>
      <c r="FY6">
        <f t="shared" si="129"/>
        <v>0</v>
      </c>
      <c r="FZ6">
        <f t="shared" si="130"/>
        <v>0</v>
      </c>
      <c r="GA6">
        <f t="shared" si="131"/>
        <v>0</v>
      </c>
      <c r="GB6" t="b">
        <f t="shared" ca="1" si="132"/>
        <v>0</v>
      </c>
      <c r="GC6" t="b">
        <f t="shared" ca="1" si="133"/>
        <v>1</v>
      </c>
      <c r="GD6" t="b">
        <f t="shared" ca="1" si="134"/>
        <v>0</v>
      </c>
      <c r="GE6">
        <f t="shared" ca="1" si="135"/>
        <v>0</v>
      </c>
      <c r="GF6" t="b">
        <f t="shared" si="136"/>
        <v>0</v>
      </c>
      <c r="GG6" t="b">
        <f t="shared" si="137"/>
        <v>0</v>
      </c>
      <c r="GH6">
        <f t="shared" ca="1" si="138"/>
        <v>0</v>
      </c>
      <c r="GI6" s="6">
        <f t="shared" ca="1" si="139"/>
        <v>1</v>
      </c>
      <c r="GJ6">
        <f>MATCH(GJ$2,Spieltage!$C$33:$C$41,0)+32</f>
        <v>37</v>
      </c>
      <c r="GK6" t="e">
        <f>MATCH(GJ$2,Spieltage!$E$33:$E$41,0)+32</f>
        <v>#N/A</v>
      </c>
      <c r="GL6">
        <f t="shared" si="140"/>
        <v>37</v>
      </c>
      <c r="GM6">
        <f ca="1">INDIRECT("Spieltage!$F"&amp;'i2'!GL6)</f>
        <v>0</v>
      </c>
      <c r="GN6" s="35" t="s">
        <v>12</v>
      </c>
      <c r="GO6" s="97">
        <f ca="1">INDIRECT("Spieltage!$H"&amp;'i2'!GL6)</f>
        <v>0</v>
      </c>
      <c r="GP6" t="str">
        <f t="shared" si="141"/>
        <v>H</v>
      </c>
      <c r="GQ6">
        <f t="shared" si="142"/>
        <v>1</v>
      </c>
      <c r="GR6" t="b">
        <f t="shared" ca="1" si="143"/>
        <v>0</v>
      </c>
      <c r="GS6" t="b">
        <f t="shared" ca="1" si="144"/>
        <v>1</v>
      </c>
      <c r="GT6" t="b">
        <f t="shared" ca="1" si="145"/>
        <v>0</v>
      </c>
      <c r="GU6">
        <f t="shared" si="146"/>
        <v>0</v>
      </c>
      <c r="GV6">
        <f t="shared" si="147"/>
        <v>0</v>
      </c>
      <c r="GW6">
        <f t="shared" si="148"/>
        <v>0</v>
      </c>
      <c r="GX6">
        <f t="shared" ca="1" si="149"/>
        <v>0</v>
      </c>
      <c r="GY6">
        <f t="shared" ca="1" si="150"/>
        <v>0</v>
      </c>
      <c r="GZ6">
        <f t="shared" ca="1" si="151"/>
        <v>1</v>
      </c>
      <c r="HA6" t="b">
        <f t="shared" si="152"/>
        <v>0</v>
      </c>
      <c r="HB6" s="6" t="b">
        <f t="shared" si="153"/>
        <v>0</v>
      </c>
      <c r="HC6" t="e">
        <f>MATCH(HC$2,Spieltage!$C$33:$C$41,0)+32</f>
        <v>#N/A</v>
      </c>
      <c r="HD6">
        <f>MATCH(HC$2,Spieltage!$E$33:$E$41,0)+32</f>
        <v>33</v>
      </c>
      <c r="HE6">
        <f t="shared" si="154"/>
        <v>33</v>
      </c>
      <c r="HF6">
        <f ca="1">INDIRECT("Spieltage!$F"&amp;'i2'!HE6)</f>
        <v>0</v>
      </c>
      <c r="HG6" s="35" t="s">
        <v>12</v>
      </c>
      <c r="HH6" s="97">
        <f ca="1">INDIRECT("Spieltage!$H"&amp;'i2'!HE6)</f>
        <v>0</v>
      </c>
      <c r="HI6" t="str">
        <f t="shared" si="155"/>
        <v>A</v>
      </c>
      <c r="HJ6">
        <f t="shared" si="156"/>
        <v>2</v>
      </c>
      <c r="HK6">
        <f t="shared" si="157"/>
        <v>0</v>
      </c>
      <c r="HL6">
        <f t="shared" si="158"/>
        <v>0</v>
      </c>
      <c r="HM6">
        <f t="shared" si="159"/>
        <v>0</v>
      </c>
      <c r="HN6" t="b">
        <f t="shared" ca="1" si="160"/>
        <v>0</v>
      </c>
      <c r="HO6" t="b">
        <f t="shared" ca="1" si="161"/>
        <v>1</v>
      </c>
      <c r="HP6" t="b">
        <f t="shared" ca="1" si="162"/>
        <v>0</v>
      </c>
      <c r="HQ6">
        <f t="shared" ca="1" si="163"/>
        <v>0</v>
      </c>
      <c r="HR6" t="b">
        <f t="shared" si="164"/>
        <v>0</v>
      </c>
      <c r="HS6" t="b">
        <f t="shared" si="165"/>
        <v>0</v>
      </c>
      <c r="HT6">
        <f t="shared" ca="1" si="166"/>
        <v>0</v>
      </c>
      <c r="HU6" s="6">
        <f t="shared" ca="1" si="167"/>
        <v>1</v>
      </c>
      <c r="HV6">
        <f>MATCH(HV$2,Spieltage!$C$33:$C$41,0)+32</f>
        <v>39</v>
      </c>
      <c r="HW6" t="e">
        <f>MATCH(HV$2,Spieltage!$E$33:$E$41,0)+32</f>
        <v>#N/A</v>
      </c>
      <c r="HX6">
        <f t="shared" si="168"/>
        <v>39</v>
      </c>
      <c r="HY6">
        <f ca="1">INDIRECT("Spieltage!$F"&amp;'i2'!HX6)</f>
        <v>0</v>
      </c>
      <c r="HZ6" s="35" t="s">
        <v>12</v>
      </c>
      <c r="IA6" s="97">
        <f ca="1">INDIRECT("Spieltage!$H"&amp;'i2'!HX6)</f>
        <v>0</v>
      </c>
      <c r="IB6" t="str">
        <f t="shared" si="169"/>
        <v>H</v>
      </c>
      <c r="IC6">
        <f t="shared" si="170"/>
        <v>1</v>
      </c>
      <c r="ID6" t="b">
        <f t="shared" ca="1" si="171"/>
        <v>0</v>
      </c>
      <c r="IE6" t="b">
        <f t="shared" ca="1" si="172"/>
        <v>1</v>
      </c>
      <c r="IF6" t="b">
        <f t="shared" ca="1" si="173"/>
        <v>0</v>
      </c>
      <c r="IG6">
        <f t="shared" si="174"/>
        <v>0</v>
      </c>
      <c r="IH6">
        <f t="shared" si="175"/>
        <v>0</v>
      </c>
      <c r="II6">
        <f t="shared" si="176"/>
        <v>0</v>
      </c>
      <c r="IJ6">
        <f t="shared" ca="1" si="177"/>
        <v>0</v>
      </c>
      <c r="IK6">
        <f t="shared" ca="1" si="178"/>
        <v>0</v>
      </c>
      <c r="IL6">
        <f t="shared" ca="1" si="179"/>
        <v>1</v>
      </c>
      <c r="IM6" t="b">
        <f t="shared" si="180"/>
        <v>0</v>
      </c>
      <c r="IN6" s="6" t="b">
        <f t="shared" si="181"/>
        <v>0</v>
      </c>
      <c r="IO6" t="e">
        <f>MATCH(IO$2,Spieltage!$C$33:$C$41,0)+32</f>
        <v>#N/A</v>
      </c>
      <c r="IP6">
        <f>MATCH(IO$2,Spieltage!$E$33:$E$41,0)+32</f>
        <v>35</v>
      </c>
      <c r="IQ6">
        <f t="shared" si="182"/>
        <v>35</v>
      </c>
      <c r="IR6">
        <f ca="1">INDIRECT("Spieltage!$F"&amp;'i2'!IQ6)</f>
        <v>0</v>
      </c>
      <c r="IS6" s="35" t="s">
        <v>12</v>
      </c>
      <c r="IT6" s="97">
        <f ca="1">INDIRECT("Spieltage!$H"&amp;'i2'!IQ6)</f>
        <v>0</v>
      </c>
      <c r="IU6" t="str">
        <f t="shared" si="183"/>
        <v>A</v>
      </c>
      <c r="IV6">
        <f t="shared" si="184"/>
        <v>2</v>
      </c>
      <c r="IW6">
        <f t="shared" si="185"/>
        <v>0</v>
      </c>
      <c r="IX6">
        <f t="shared" si="186"/>
        <v>0</v>
      </c>
      <c r="IY6">
        <f t="shared" si="187"/>
        <v>0</v>
      </c>
      <c r="IZ6" t="b">
        <f t="shared" ca="1" si="188"/>
        <v>0</v>
      </c>
      <c r="JA6" t="b">
        <f t="shared" ca="1" si="189"/>
        <v>1</v>
      </c>
      <c r="JB6" t="b">
        <f t="shared" ca="1" si="190"/>
        <v>0</v>
      </c>
      <c r="JC6">
        <f t="shared" ca="1" si="191"/>
        <v>0</v>
      </c>
      <c r="JD6" t="b">
        <f t="shared" si="192"/>
        <v>0</v>
      </c>
      <c r="JE6" t="b">
        <f t="shared" si="193"/>
        <v>0</v>
      </c>
      <c r="JF6">
        <f t="shared" ca="1" si="194"/>
        <v>0</v>
      </c>
      <c r="JG6" s="6">
        <f t="shared" ca="1" si="195"/>
        <v>1</v>
      </c>
      <c r="JH6">
        <f>MATCH(JH$2,Spieltage!$C$33:$C$41,0)+32</f>
        <v>40</v>
      </c>
      <c r="JI6" t="e">
        <f>MATCH(JH$2,Spieltage!$E$33:$E$41,0)+32</f>
        <v>#N/A</v>
      </c>
      <c r="JJ6">
        <f t="shared" si="196"/>
        <v>40</v>
      </c>
      <c r="JK6">
        <f ca="1">INDIRECT("Spieltage!$F"&amp;'i2'!JJ6)</f>
        <v>0</v>
      </c>
      <c r="JL6" s="35" t="s">
        <v>12</v>
      </c>
      <c r="JM6" s="97">
        <f ca="1">INDIRECT("Spieltage!$H"&amp;'i2'!JJ6)</f>
        <v>0</v>
      </c>
      <c r="JN6" t="str">
        <f t="shared" si="197"/>
        <v>H</v>
      </c>
      <c r="JO6">
        <f t="shared" si="198"/>
        <v>1</v>
      </c>
      <c r="JP6" t="b">
        <f t="shared" ca="1" si="199"/>
        <v>0</v>
      </c>
      <c r="JQ6" t="b">
        <f t="shared" ca="1" si="200"/>
        <v>1</v>
      </c>
      <c r="JR6" t="b">
        <f t="shared" ca="1" si="201"/>
        <v>0</v>
      </c>
      <c r="JS6">
        <f t="shared" si="202"/>
        <v>0</v>
      </c>
      <c r="JT6">
        <f t="shared" si="203"/>
        <v>0</v>
      </c>
      <c r="JU6">
        <f t="shared" si="204"/>
        <v>0</v>
      </c>
      <c r="JV6">
        <f t="shared" ca="1" si="205"/>
        <v>0</v>
      </c>
      <c r="JW6">
        <f t="shared" ca="1" si="206"/>
        <v>0</v>
      </c>
      <c r="JX6">
        <f t="shared" ca="1" si="207"/>
        <v>1</v>
      </c>
      <c r="JY6" t="b">
        <f t="shared" si="208"/>
        <v>0</v>
      </c>
      <c r="JZ6" s="6" t="b">
        <f t="shared" si="209"/>
        <v>0</v>
      </c>
      <c r="KA6" t="e">
        <f>MATCH(KA$2,Spieltage!$C$33:$C$41,0)+32</f>
        <v>#N/A</v>
      </c>
      <c r="KB6">
        <f>MATCH(KA$2,Spieltage!$E$33:$E$41,0)+32</f>
        <v>41</v>
      </c>
      <c r="KC6">
        <f t="shared" si="210"/>
        <v>41</v>
      </c>
      <c r="KD6">
        <f ca="1">INDIRECT("Spieltage!$F"&amp;'i2'!KC6)</f>
        <v>0</v>
      </c>
      <c r="KE6" s="35" t="s">
        <v>12</v>
      </c>
      <c r="KF6" s="97">
        <f ca="1">INDIRECT("Spieltage!$H"&amp;'i2'!KC6)</f>
        <v>0</v>
      </c>
      <c r="KG6" t="str">
        <f t="shared" si="211"/>
        <v>A</v>
      </c>
      <c r="KH6">
        <f t="shared" si="212"/>
        <v>2</v>
      </c>
      <c r="KI6">
        <f t="shared" si="213"/>
        <v>0</v>
      </c>
      <c r="KJ6">
        <f t="shared" si="214"/>
        <v>0</v>
      </c>
      <c r="KK6">
        <f t="shared" si="215"/>
        <v>0</v>
      </c>
      <c r="KL6" t="b">
        <f t="shared" ca="1" si="216"/>
        <v>0</v>
      </c>
      <c r="KM6" t="b">
        <f t="shared" ca="1" si="217"/>
        <v>1</v>
      </c>
      <c r="KN6" t="b">
        <f t="shared" ca="1" si="218"/>
        <v>0</v>
      </c>
      <c r="KO6">
        <f t="shared" ca="1" si="219"/>
        <v>0</v>
      </c>
      <c r="KP6" t="b">
        <f t="shared" si="220"/>
        <v>0</v>
      </c>
      <c r="KQ6" t="b">
        <f t="shared" si="221"/>
        <v>0</v>
      </c>
      <c r="KR6">
        <f t="shared" ca="1" si="222"/>
        <v>0</v>
      </c>
      <c r="KS6" s="6">
        <f t="shared" ca="1" si="223"/>
        <v>1</v>
      </c>
      <c r="KT6">
        <f>MATCH(KT$2,Spieltage!$C$33:$C$41,0)+32</f>
        <v>41</v>
      </c>
      <c r="KU6" t="e">
        <f>MATCH(KT$2,Spieltage!$E$33:$E$41,0)+32</f>
        <v>#N/A</v>
      </c>
      <c r="KV6">
        <f t="shared" si="224"/>
        <v>41</v>
      </c>
      <c r="KW6">
        <f ca="1">INDIRECT("Spieltage!$F"&amp;'i2'!KV6)</f>
        <v>0</v>
      </c>
      <c r="KX6" s="35" t="s">
        <v>12</v>
      </c>
      <c r="KY6" s="97">
        <f ca="1">INDIRECT("Spieltage!$H"&amp;'i2'!KV6)</f>
        <v>0</v>
      </c>
      <c r="KZ6" t="str">
        <f t="shared" si="225"/>
        <v>H</v>
      </c>
      <c r="LA6">
        <f t="shared" si="226"/>
        <v>1</v>
      </c>
      <c r="LB6" t="b">
        <f t="shared" ca="1" si="227"/>
        <v>0</v>
      </c>
      <c r="LC6" t="b">
        <f t="shared" ca="1" si="228"/>
        <v>1</v>
      </c>
      <c r="LD6" t="b">
        <f t="shared" ca="1" si="229"/>
        <v>0</v>
      </c>
      <c r="LE6">
        <f t="shared" si="230"/>
        <v>0</v>
      </c>
      <c r="LF6">
        <f t="shared" si="231"/>
        <v>0</v>
      </c>
      <c r="LG6">
        <f t="shared" si="232"/>
        <v>0</v>
      </c>
      <c r="LH6">
        <f t="shared" ca="1" si="233"/>
        <v>0</v>
      </c>
      <c r="LI6">
        <f t="shared" ca="1" si="234"/>
        <v>0</v>
      </c>
      <c r="LJ6">
        <f t="shared" ca="1" si="235"/>
        <v>1</v>
      </c>
      <c r="LK6" t="b">
        <f t="shared" si="236"/>
        <v>0</v>
      </c>
      <c r="LL6" s="6" t="b">
        <f t="shared" si="237"/>
        <v>0</v>
      </c>
      <c r="LM6">
        <f>MATCH(LM$2,Spieltage!$C$33:$C$41,0)+32</f>
        <v>38</v>
      </c>
      <c r="LN6" t="e">
        <f>MATCH(LM$2,Spieltage!$E$33:$E$41,0)+32</f>
        <v>#N/A</v>
      </c>
      <c r="LO6">
        <f t="shared" si="238"/>
        <v>38</v>
      </c>
      <c r="LP6">
        <f ca="1">INDIRECT("Spieltage!$F"&amp;'i2'!LO6)</f>
        <v>0</v>
      </c>
      <c r="LQ6" s="35" t="s">
        <v>12</v>
      </c>
      <c r="LR6" s="97">
        <f ca="1">INDIRECT("Spieltage!$H"&amp;'i2'!LO6)</f>
        <v>0</v>
      </c>
      <c r="LS6" t="str">
        <f t="shared" si="239"/>
        <v>H</v>
      </c>
      <c r="LT6">
        <f t="shared" si="240"/>
        <v>1</v>
      </c>
      <c r="LU6" t="b">
        <f t="shared" ca="1" si="241"/>
        <v>0</v>
      </c>
      <c r="LV6" t="b">
        <f t="shared" ca="1" si="242"/>
        <v>1</v>
      </c>
      <c r="LW6" t="b">
        <f t="shared" ca="1" si="243"/>
        <v>0</v>
      </c>
      <c r="LX6">
        <f t="shared" si="244"/>
        <v>0</v>
      </c>
      <c r="LY6">
        <f t="shared" si="245"/>
        <v>0</v>
      </c>
      <c r="LZ6">
        <f t="shared" si="246"/>
        <v>0</v>
      </c>
      <c r="MA6">
        <f t="shared" ca="1" si="247"/>
        <v>0</v>
      </c>
      <c r="MB6">
        <f t="shared" ca="1" si="248"/>
        <v>0</v>
      </c>
      <c r="MC6">
        <f t="shared" ca="1" si="249"/>
        <v>1</v>
      </c>
      <c r="MD6" t="b">
        <f t="shared" si="250"/>
        <v>0</v>
      </c>
      <c r="ME6" s="6" t="b">
        <f t="shared" si="251"/>
        <v>0</v>
      </c>
    </row>
    <row r="7" spans="1:343" x14ac:dyDescent="0.2">
      <c r="A7" s="104" t="s">
        <v>156</v>
      </c>
      <c r="B7" t="e">
        <f>MATCH(B$2,Spieltage!$C$48:$C$56,0)+47</f>
        <v>#N/A</v>
      </c>
      <c r="C7">
        <f>MATCH(B$2,Spieltage!$E$48:$E$56,0)+47</f>
        <v>55</v>
      </c>
      <c r="D7">
        <f t="shared" si="0"/>
        <v>55</v>
      </c>
      <c r="E7">
        <f ca="1">INDIRECT("Spieltage!$F"&amp;'i2'!D7)</f>
        <v>0</v>
      </c>
      <c r="F7" s="35" t="s">
        <v>12</v>
      </c>
      <c r="G7" s="97">
        <f ca="1">INDIRECT("Spieltage!$H"&amp;'i2'!D7)</f>
        <v>0</v>
      </c>
      <c r="H7" t="str">
        <f t="shared" si="1"/>
        <v>A</v>
      </c>
      <c r="I7">
        <f t="shared" si="2"/>
        <v>2</v>
      </c>
      <c r="J7">
        <f t="shared" si="3"/>
        <v>0</v>
      </c>
      <c r="K7">
        <f t="shared" si="4"/>
        <v>0</v>
      </c>
      <c r="L7">
        <f t="shared" si="5"/>
        <v>0</v>
      </c>
      <c r="M7" t="b">
        <f t="shared" ca="1" si="6"/>
        <v>0</v>
      </c>
      <c r="N7" t="b">
        <f t="shared" ca="1" si="7"/>
        <v>1</v>
      </c>
      <c r="O7" t="b">
        <f t="shared" ca="1" si="8"/>
        <v>0</v>
      </c>
      <c r="P7">
        <f t="shared" ca="1" si="9"/>
        <v>0</v>
      </c>
      <c r="Q7" t="b">
        <f t="shared" si="10"/>
        <v>0</v>
      </c>
      <c r="R7" t="b">
        <f t="shared" si="11"/>
        <v>0</v>
      </c>
      <c r="S7">
        <f t="shared" ca="1" si="12"/>
        <v>0</v>
      </c>
      <c r="T7" s="6">
        <f t="shared" ca="1" si="13"/>
        <v>1</v>
      </c>
      <c r="U7">
        <f>MATCH(U$2,Spieltage!$C$48:$C$56,0)+47</f>
        <v>51</v>
      </c>
      <c r="V7" t="e">
        <f>MATCH(U$2,Spieltage!$E$48:$E$56,0)+47</f>
        <v>#N/A</v>
      </c>
      <c r="W7">
        <f t="shared" si="14"/>
        <v>51</v>
      </c>
      <c r="X7">
        <f ca="1">INDIRECT("Spieltage!$F"&amp;'i2'!W7)</f>
        <v>0</v>
      </c>
      <c r="Y7" s="35" t="s">
        <v>12</v>
      </c>
      <c r="Z7" s="97">
        <f ca="1">INDIRECT("Spieltage!$H"&amp;'i2'!W7)</f>
        <v>0</v>
      </c>
      <c r="AA7" t="str">
        <f t="shared" si="15"/>
        <v>H</v>
      </c>
      <c r="AB7">
        <f t="shared" si="16"/>
        <v>1</v>
      </c>
      <c r="AC7" t="b">
        <f t="shared" ca="1" si="17"/>
        <v>0</v>
      </c>
      <c r="AD7" t="b">
        <f t="shared" ca="1" si="18"/>
        <v>1</v>
      </c>
      <c r="AE7" t="b">
        <f t="shared" ca="1" si="19"/>
        <v>0</v>
      </c>
      <c r="AF7">
        <f t="shared" si="20"/>
        <v>0</v>
      </c>
      <c r="AG7">
        <f t="shared" si="21"/>
        <v>0</v>
      </c>
      <c r="AH7">
        <f t="shared" si="22"/>
        <v>0</v>
      </c>
      <c r="AI7">
        <f t="shared" ca="1" si="23"/>
        <v>0</v>
      </c>
      <c r="AJ7">
        <f t="shared" ca="1" si="24"/>
        <v>0</v>
      </c>
      <c r="AK7">
        <f t="shared" ca="1" si="25"/>
        <v>1</v>
      </c>
      <c r="AL7" t="b">
        <f t="shared" si="26"/>
        <v>0</v>
      </c>
      <c r="AM7" s="6" t="b">
        <f t="shared" si="27"/>
        <v>0</v>
      </c>
      <c r="AN7">
        <f>MATCH(AN$2,Spieltage!$C$48:$C$56,0)+47</f>
        <v>48</v>
      </c>
      <c r="AO7" t="e">
        <f>MATCH(AN$2,Spieltage!$E$48:$E$56,0)+47</f>
        <v>#N/A</v>
      </c>
      <c r="AP7">
        <f t="shared" si="28"/>
        <v>48</v>
      </c>
      <c r="AQ7">
        <f ca="1">INDIRECT("Spieltage!$F"&amp;'i2'!AP7)</f>
        <v>0</v>
      </c>
      <c r="AR7" s="35" t="s">
        <v>12</v>
      </c>
      <c r="AS7" s="97">
        <f ca="1">INDIRECT("Spieltage!$H"&amp;'i2'!AP7)</f>
        <v>0</v>
      </c>
      <c r="AT7" t="str">
        <f t="shared" si="29"/>
        <v>H</v>
      </c>
      <c r="AU7">
        <f t="shared" si="30"/>
        <v>1</v>
      </c>
      <c r="AV7" t="b">
        <f t="shared" ca="1" si="31"/>
        <v>0</v>
      </c>
      <c r="AW7" t="b">
        <f t="shared" ca="1" si="32"/>
        <v>1</v>
      </c>
      <c r="AX7" t="b">
        <f t="shared" ca="1" si="33"/>
        <v>0</v>
      </c>
      <c r="AY7">
        <f t="shared" si="34"/>
        <v>0</v>
      </c>
      <c r="AZ7">
        <f t="shared" si="35"/>
        <v>0</v>
      </c>
      <c r="BA7">
        <f t="shared" si="36"/>
        <v>0</v>
      </c>
      <c r="BB7">
        <f t="shared" ca="1" si="37"/>
        <v>0</v>
      </c>
      <c r="BC7">
        <f t="shared" ca="1" si="38"/>
        <v>0</v>
      </c>
      <c r="BD7">
        <f t="shared" ca="1" si="39"/>
        <v>1</v>
      </c>
      <c r="BE7" t="b">
        <f t="shared" si="40"/>
        <v>0</v>
      </c>
      <c r="BF7" s="6" t="b">
        <f t="shared" si="41"/>
        <v>0</v>
      </c>
      <c r="BG7">
        <f>MATCH(BG$2,Spieltage!$C$48:$C$56,0)+47</f>
        <v>55</v>
      </c>
      <c r="BH7" t="e">
        <f>MATCH(BG$2,Spieltage!$E$48:$E$56,0)+47</f>
        <v>#N/A</v>
      </c>
      <c r="BI7">
        <f t="shared" si="42"/>
        <v>55</v>
      </c>
      <c r="BJ7">
        <f ca="1">INDIRECT("Spieltage!$F"&amp;'i2'!BI7)</f>
        <v>0</v>
      </c>
      <c r="BK7" s="35" t="s">
        <v>12</v>
      </c>
      <c r="BL7" s="97">
        <f ca="1">INDIRECT("Spieltage!$H"&amp;'i2'!BI7)</f>
        <v>0</v>
      </c>
      <c r="BM7" t="str">
        <f t="shared" si="43"/>
        <v>H</v>
      </c>
      <c r="BN7">
        <f t="shared" si="44"/>
        <v>1</v>
      </c>
      <c r="BO7" t="b">
        <f t="shared" ca="1" si="45"/>
        <v>0</v>
      </c>
      <c r="BP7" t="b">
        <f t="shared" ca="1" si="46"/>
        <v>1</v>
      </c>
      <c r="BQ7" t="b">
        <f t="shared" ca="1" si="47"/>
        <v>0</v>
      </c>
      <c r="BR7">
        <f t="shared" si="48"/>
        <v>0</v>
      </c>
      <c r="BS7">
        <f t="shared" si="49"/>
        <v>0</v>
      </c>
      <c r="BT7">
        <f t="shared" si="50"/>
        <v>0</v>
      </c>
      <c r="BU7">
        <f t="shared" ca="1" si="51"/>
        <v>0</v>
      </c>
      <c r="BV7">
        <f t="shared" ca="1" si="52"/>
        <v>0</v>
      </c>
      <c r="BW7">
        <f t="shared" ca="1" si="53"/>
        <v>1</v>
      </c>
      <c r="BX7" t="b">
        <f t="shared" si="54"/>
        <v>0</v>
      </c>
      <c r="BY7" s="6" t="b">
        <f t="shared" si="55"/>
        <v>0</v>
      </c>
      <c r="BZ7">
        <f>MATCH(BZ$2,Spieltage!$C$48:$C$56,0)+47</f>
        <v>49</v>
      </c>
      <c r="CA7" t="e">
        <f>MATCH(BZ$2,Spieltage!$E$48:$E$56,0)+47</f>
        <v>#N/A</v>
      </c>
      <c r="CB7">
        <f t="shared" si="56"/>
        <v>49</v>
      </c>
      <c r="CC7">
        <f ca="1">INDIRECT("Spieltage!$F"&amp;'i2'!CB7)</f>
        <v>0</v>
      </c>
      <c r="CD7" s="35" t="s">
        <v>12</v>
      </c>
      <c r="CE7" s="97">
        <f ca="1">INDIRECT("Spieltage!$H"&amp;'i2'!CB7)</f>
        <v>0</v>
      </c>
      <c r="CF7" t="str">
        <f t="shared" si="57"/>
        <v>H</v>
      </c>
      <c r="CG7">
        <f t="shared" si="58"/>
        <v>1</v>
      </c>
      <c r="CH7" t="b">
        <f t="shared" ca="1" si="59"/>
        <v>0</v>
      </c>
      <c r="CI7" t="b">
        <f t="shared" ca="1" si="60"/>
        <v>1</v>
      </c>
      <c r="CJ7" t="b">
        <f t="shared" ca="1" si="61"/>
        <v>0</v>
      </c>
      <c r="CK7">
        <f t="shared" si="62"/>
        <v>0</v>
      </c>
      <c r="CL7">
        <f t="shared" si="63"/>
        <v>0</v>
      </c>
      <c r="CM7">
        <f t="shared" si="64"/>
        <v>0</v>
      </c>
      <c r="CN7">
        <f t="shared" ca="1" si="65"/>
        <v>0</v>
      </c>
      <c r="CO7">
        <f t="shared" ca="1" si="66"/>
        <v>0</v>
      </c>
      <c r="CP7">
        <f t="shared" ca="1" si="67"/>
        <v>1</v>
      </c>
      <c r="CQ7" t="b">
        <f t="shared" si="68"/>
        <v>0</v>
      </c>
      <c r="CR7" s="6" t="b">
        <f t="shared" si="69"/>
        <v>0</v>
      </c>
      <c r="CS7">
        <f>MATCH(CS$2,Spieltage!$C$48:$C$56,0)+47</f>
        <v>52</v>
      </c>
      <c r="CT7" t="e">
        <f>MATCH(CS$2,Spieltage!$E$48:$E$56,0)+47</f>
        <v>#N/A</v>
      </c>
      <c r="CU7">
        <f t="shared" si="70"/>
        <v>52</v>
      </c>
      <c r="CV7">
        <f ca="1">INDIRECT("Spieltage!$F"&amp;'i2'!CU7)</f>
        <v>0</v>
      </c>
      <c r="CW7" s="35" t="s">
        <v>12</v>
      </c>
      <c r="CX7" s="97">
        <f ca="1">INDIRECT("Spieltage!$H"&amp;'i2'!CU7)</f>
        <v>0</v>
      </c>
      <c r="CY7" t="str">
        <f t="shared" si="71"/>
        <v>H</v>
      </c>
      <c r="CZ7">
        <f t="shared" si="72"/>
        <v>1</v>
      </c>
      <c r="DA7" t="b">
        <f t="shared" ca="1" si="73"/>
        <v>0</v>
      </c>
      <c r="DB7" t="b">
        <f t="shared" ca="1" si="74"/>
        <v>1</v>
      </c>
      <c r="DC7" t="b">
        <f t="shared" ca="1" si="75"/>
        <v>0</v>
      </c>
      <c r="DD7">
        <f t="shared" si="76"/>
        <v>0</v>
      </c>
      <c r="DE7">
        <f t="shared" si="77"/>
        <v>0</v>
      </c>
      <c r="DF7">
        <f t="shared" si="78"/>
        <v>0</v>
      </c>
      <c r="DG7">
        <f t="shared" ca="1" si="79"/>
        <v>0</v>
      </c>
      <c r="DH7">
        <f t="shared" ca="1" si="80"/>
        <v>0</v>
      </c>
      <c r="DI7">
        <f t="shared" ca="1" si="81"/>
        <v>1</v>
      </c>
      <c r="DJ7" t="b">
        <f t="shared" si="82"/>
        <v>0</v>
      </c>
      <c r="DK7" s="6" t="b">
        <f t="shared" si="83"/>
        <v>0</v>
      </c>
      <c r="DL7" t="e">
        <f>MATCH(DL$2,Spieltage!$C$48:$C$56,0)+47</f>
        <v>#N/A</v>
      </c>
      <c r="DM7">
        <f>MATCH(DL$2,Spieltage!$E$48:$E$56,0)+47</f>
        <v>52</v>
      </c>
      <c r="DN7">
        <f t="shared" si="84"/>
        <v>52</v>
      </c>
      <c r="DO7">
        <f ca="1">INDIRECT("Spieltage!$F"&amp;'i2'!DN7)</f>
        <v>0</v>
      </c>
      <c r="DP7" s="35" t="s">
        <v>12</v>
      </c>
      <c r="DQ7" s="97">
        <f ca="1">INDIRECT("Spieltage!$H"&amp;'i2'!DN7)</f>
        <v>0</v>
      </c>
      <c r="DR7" t="str">
        <f t="shared" si="85"/>
        <v>A</v>
      </c>
      <c r="DS7">
        <f t="shared" si="86"/>
        <v>2</v>
      </c>
      <c r="DT7">
        <f t="shared" si="87"/>
        <v>0</v>
      </c>
      <c r="DU7">
        <f t="shared" si="88"/>
        <v>0</v>
      </c>
      <c r="DV7">
        <f t="shared" si="89"/>
        <v>0</v>
      </c>
      <c r="DW7" t="b">
        <f t="shared" ca="1" si="90"/>
        <v>0</v>
      </c>
      <c r="DX7" t="b">
        <f t="shared" ca="1" si="91"/>
        <v>1</v>
      </c>
      <c r="DY7" t="b">
        <f t="shared" ca="1" si="92"/>
        <v>0</v>
      </c>
      <c r="DZ7">
        <f t="shared" ca="1" si="93"/>
        <v>0</v>
      </c>
      <c r="EA7" t="b">
        <f t="shared" si="94"/>
        <v>0</v>
      </c>
      <c r="EB7" t="b">
        <f t="shared" si="95"/>
        <v>0</v>
      </c>
      <c r="EC7">
        <f t="shared" ca="1" si="96"/>
        <v>0</v>
      </c>
      <c r="ED7" s="6">
        <f t="shared" ca="1" si="97"/>
        <v>1</v>
      </c>
      <c r="EE7">
        <f>MATCH(EE$2,Spieltage!$C$48:$C$56,0)+47</f>
        <v>54</v>
      </c>
      <c r="EF7" t="e">
        <f>MATCH(EE$2,Spieltage!$E$48:$E$56,0)+47</f>
        <v>#N/A</v>
      </c>
      <c r="EG7">
        <f t="shared" si="98"/>
        <v>54</v>
      </c>
      <c r="EH7">
        <f ca="1">INDIRECT("Spieltage!$F"&amp;'i2'!EG7)</f>
        <v>0</v>
      </c>
      <c r="EI7" s="35" t="s">
        <v>12</v>
      </c>
      <c r="EJ7" s="97">
        <f ca="1">INDIRECT("Spieltage!$H"&amp;'i2'!EG7)</f>
        <v>0</v>
      </c>
      <c r="EK7" t="str">
        <f t="shared" si="99"/>
        <v>H</v>
      </c>
      <c r="EL7">
        <f t="shared" si="100"/>
        <v>1</v>
      </c>
      <c r="EM7" t="b">
        <f t="shared" ca="1" si="101"/>
        <v>0</v>
      </c>
      <c r="EN7" t="b">
        <f t="shared" ca="1" si="102"/>
        <v>1</v>
      </c>
      <c r="EO7" t="b">
        <f t="shared" ca="1" si="103"/>
        <v>0</v>
      </c>
      <c r="EP7">
        <f t="shared" si="104"/>
        <v>0</v>
      </c>
      <c r="EQ7">
        <f t="shared" si="105"/>
        <v>0</v>
      </c>
      <c r="ER7">
        <f t="shared" si="106"/>
        <v>0</v>
      </c>
      <c r="ES7">
        <f t="shared" ca="1" si="107"/>
        <v>0</v>
      </c>
      <c r="ET7">
        <f t="shared" ca="1" si="108"/>
        <v>0</v>
      </c>
      <c r="EU7">
        <f t="shared" ca="1" si="109"/>
        <v>1</v>
      </c>
      <c r="EV7" t="b">
        <f t="shared" si="110"/>
        <v>0</v>
      </c>
      <c r="EW7" s="6" t="b">
        <f t="shared" si="111"/>
        <v>0</v>
      </c>
      <c r="EX7" t="e">
        <f>MATCH(EX$2,Spieltage!$C$48:$C$56,0)+47</f>
        <v>#N/A</v>
      </c>
      <c r="EY7">
        <f>MATCH(EX$2,Spieltage!$E$48:$E$56,0)+47</f>
        <v>54</v>
      </c>
      <c r="EZ7">
        <f t="shared" si="112"/>
        <v>54</v>
      </c>
      <c r="FA7">
        <f ca="1">INDIRECT("Spieltage!$F"&amp;'i2'!EZ7)</f>
        <v>0</v>
      </c>
      <c r="FB7" s="35" t="s">
        <v>12</v>
      </c>
      <c r="FC7" s="97">
        <f ca="1">INDIRECT("Spieltage!$H"&amp;'i2'!EZ7)</f>
        <v>0</v>
      </c>
      <c r="FD7" t="str">
        <f t="shared" si="113"/>
        <v>A</v>
      </c>
      <c r="FE7">
        <f t="shared" si="114"/>
        <v>2</v>
      </c>
      <c r="FF7">
        <f t="shared" si="115"/>
        <v>0</v>
      </c>
      <c r="FG7">
        <f t="shared" si="116"/>
        <v>0</v>
      </c>
      <c r="FH7">
        <f t="shared" si="117"/>
        <v>0</v>
      </c>
      <c r="FI7" t="b">
        <f t="shared" ca="1" si="118"/>
        <v>0</v>
      </c>
      <c r="FJ7" t="b">
        <f t="shared" ca="1" si="119"/>
        <v>1</v>
      </c>
      <c r="FK7" t="b">
        <f t="shared" ca="1" si="120"/>
        <v>0</v>
      </c>
      <c r="FL7">
        <f t="shared" ca="1" si="121"/>
        <v>0</v>
      </c>
      <c r="FM7" t="b">
        <f t="shared" si="122"/>
        <v>0</v>
      </c>
      <c r="FN7" t="b">
        <f t="shared" si="123"/>
        <v>0</v>
      </c>
      <c r="FO7">
        <f t="shared" ca="1" si="124"/>
        <v>0</v>
      </c>
      <c r="FP7" s="6">
        <f t="shared" ca="1" si="125"/>
        <v>1</v>
      </c>
      <c r="FQ7" t="e">
        <f>MATCH(FQ$2,Spieltage!$C$48:$C$56,0)+47</f>
        <v>#N/A</v>
      </c>
      <c r="FR7">
        <f>MATCH(FQ$2,Spieltage!$E$48:$E$56,0)+47</f>
        <v>51</v>
      </c>
      <c r="FS7">
        <f t="shared" si="126"/>
        <v>51</v>
      </c>
      <c r="FT7">
        <f ca="1">INDIRECT("Spieltage!$F"&amp;'i2'!FS7)</f>
        <v>0</v>
      </c>
      <c r="FU7" s="35" t="s">
        <v>12</v>
      </c>
      <c r="FV7" s="97">
        <f ca="1">INDIRECT("Spieltage!$H"&amp;'i2'!FS7)</f>
        <v>0</v>
      </c>
      <c r="FW7" t="str">
        <f t="shared" si="127"/>
        <v>A</v>
      </c>
      <c r="FX7">
        <f t="shared" si="128"/>
        <v>2</v>
      </c>
      <c r="FY7">
        <f t="shared" si="129"/>
        <v>0</v>
      </c>
      <c r="FZ7">
        <f t="shared" si="130"/>
        <v>0</v>
      </c>
      <c r="GA7">
        <f t="shared" si="131"/>
        <v>0</v>
      </c>
      <c r="GB7" t="b">
        <f t="shared" ca="1" si="132"/>
        <v>0</v>
      </c>
      <c r="GC7" t="b">
        <f t="shared" ca="1" si="133"/>
        <v>1</v>
      </c>
      <c r="GD7" t="b">
        <f t="shared" ca="1" si="134"/>
        <v>0</v>
      </c>
      <c r="GE7">
        <f t="shared" ca="1" si="135"/>
        <v>0</v>
      </c>
      <c r="GF7" t="b">
        <f t="shared" si="136"/>
        <v>0</v>
      </c>
      <c r="GG7" t="b">
        <f t="shared" si="137"/>
        <v>0</v>
      </c>
      <c r="GH7">
        <f t="shared" ca="1" si="138"/>
        <v>0</v>
      </c>
      <c r="GI7" s="6">
        <f t="shared" ca="1" si="139"/>
        <v>1</v>
      </c>
      <c r="GJ7" t="e">
        <f>MATCH(GJ$2,Spieltage!$C$48:$C$56,0)+47</f>
        <v>#N/A</v>
      </c>
      <c r="GK7">
        <f>MATCH(GJ$2,Spieltage!$E$48:$E$56,0)+47</f>
        <v>48</v>
      </c>
      <c r="GL7">
        <f t="shared" si="140"/>
        <v>48</v>
      </c>
      <c r="GM7">
        <f ca="1">INDIRECT("Spieltage!$F"&amp;'i2'!GL7)</f>
        <v>0</v>
      </c>
      <c r="GN7" s="35" t="s">
        <v>12</v>
      </c>
      <c r="GO7" s="97">
        <f ca="1">INDIRECT("Spieltage!$H"&amp;'i2'!GL7)</f>
        <v>0</v>
      </c>
      <c r="GP7" t="str">
        <f t="shared" si="141"/>
        <v>A</v>
      </c>
      <c r="GQ7">
        <f t="shared" si="142"/>
        <v>2</v>
      </c>
      <c r="GR7">
        <f t="shared" si="143"/>
        <v>0</v>
      </c>
      <c r="GS7">
        <f t="shared" si="144"/>
        <v>0</v>
      </c>
      <c r="GT7">
        <f t="shared" si="145"/>
        <v>0</v>
      </c>
      <c r="GU7" t="b">
        <f t="shared" ca="1" si="146"/>
        <v>0</v>
      </c>
      <c r="GV7" t="b">
        <f t="shared" ca="1" si="147"/>
        <v>1</v>
      </c>
      <c r="GW7" t="b">
        <f t="shared" ca="1" si="148"/>
        <v>0</v>
      </c>
      <c r="GX7">
        <f t="shared" ca="1" si="149"/>
        <v>0</v>
      </c>
      <c r="GY7" t="b">
        <f t="shared" si="150"/>
        <v>0</v>
      </c>
      <c r="GZ7" t="b">
        <f t="shared" si="151"/>
        <v>0</v>
      </c>
      <c r="HA7">
        <f t="shared" ca="1" si="152"/>
        <v>0</v>
      </c>
      <c r="HB7" s="6">
        <f t="shared" ca="1" si="153"/>
        <v>1</v>
      </c>
      <c r="HC7">
        <f>MATCH(HC$2,Spieltage!$C$48:$C$56,0)+47</f>
        <v>56</v>
      </c>
      <c r="HD7" t="e">
        <f>MATCH(HC$2,Spieltage!$E$48:$E$56,0)+47</f>
        <v>#N/A</v>
      </c>
      <c r="HE7">
        <f t="shared" si="154"/>
        <v>56</v>
      </c>
      <c r="HF7">
        <f ca="1">INDIRECT("Spieltage!$F"&amp;'i2'!HE7)</f>
        <v>0</v>
      </c>
      <c r="HG7" s="35" t="s">
        <v>12</v>
      </c>
      <c r="HH7" s="97">
        <f ca="1">INDIRECT("Spieltage!$H"&amp;'i2'!HE7)</f>
        <v>0</v>
      </c>
      <c r="HI7" t="str">
        <f t="shared" si="155"/>
        <v>H</v>
      </c>
      <c r="HJ7">
        <f t="shared" si="156"/>
        <v>1</v>
      </c>
      <c r="HK7" t="b">
        <f t="shared" ca="1" si="157"/>
        <v>0</v>
      </c>
      <c r="HL7" t="b">
        <f t="shared" ca="1" si="158"/>
        <v>1</v>
      </c>
      <c r="HM7" t="b">
        <f t="shared" ca="1" si="159"/>
        <v>0</v>
      </c>
      <c r="HN7">
        <f t="shared" si="160"/>
        <v>0</v>
      </c>
      <c r="HO7">
        <f t="shared" si="161"/>
        <v>0</v>
      </c>
      <c r="HP7">
        <f t="shared" si="162"/>
        <v>0</v>
      </c>
      <c r="HQ7">
        <f t="shared" ca="1" si="163"/>
        <v>0</v>
      </c>
      <c r="HR7">
        <f t="shared" ca="1" si="164"/>
        <v>0</v>
      </c>
      <c r="HS7">
        <f t="shared" ca="1" si="165"/>
        <v>1</v>
      </c>
      <c r="HT7" t="b">
        <f t="shared" si="166"/>
        <v>0</v>
      </c>
      <c r="HU7" s="6" t="b">
        <f t="shared" si="167"/>
        <v>0</v>
      </c>
      <c r="HV7" t="e">
        <f>MATCH(HV$2,Spieltage!$C$48:$C$56,0)+47</f>
        <v>#N/A</v>
      </c>
      <c r="HW7">
        <f>MATCH(HV$2,Spieltage!$E$48:$E$56,0)+47</f>
        <v>49</v>
      </c>
      <c r="HX7">
        <f t="shared" si="168"/>
        <v>49</v>
      </c>
      <c r="HY7">
        <f ca="1">INDIRECT("Spieltage!$F"&amp;'i2'!HX7)</f>
        <v>0</v>
      </c>
      <c r="HZ7" s="35" t="s">
        <v>12</v>
      </c>
      <c r="IA7" s="97">
        <f ca="1">INDIRECT("Spieltage!$H"&amp;'i2'!HX7)</f>
        <v>0</v>
      </c>
      <c r="IB7" t="str">
        <f t="shared" si="169"/>
        <v>A</v>
      </c>
      <c r="IC7">
        <f t="shared" si="170"/>
        <v>2</v>
      </c>
      <c r="ID7">
        <f t="shared" si="171"/>
        <v>0</v>
      </c>
      <c r="IE7">
        <f t="shared" si="172"/>
        <v>0</v>
      </c>
      <c r="IF7">
        <f t="shared" si="173"/>
        <v>0</v>
      </c>
      <c r="IG7" t="b">
        <f t="shared" ca="1" si="174"/>
        <v>0</v>
      </c>
      <c r="IH7" t="b">
        <f t="shared" ca="1" si="175"/>
        <v>1</v>
      </c>
      <c r="II7" t="b">
        <f t="shared" ca="1" si="176"/>
        <v>0</v>
      </c>
      <c r="IJ7">
        <f t="shared" ca="1" si="177"/>
        <v>0</v>
      </c>
      <c r="IK7" t="b">
        <f t="shared" si="178"/>
        <v>0</v>
      </c>
      <c r="IL7" t="b">
        <f t="shared" si="179"/>
        <v>0</v>
      </c>
      <c r="IM7">
        <f t="shared" ca="1" si="180"/>
        <v>0</v>
      </c>
      <c r="IN7" s="6">
        <f t="shared" ca="1" si="181"/>
        <v>1</v>
      </c>
      <c r="IO7">
        <f>MATCH(IO$2,Spieltage!$C$48:$C$56,0)+47</f>
        <v>53</v>
      </c>
      <c r="IP7" t="e">
        <f>MATCH(IO$2,Spieltage!$E$48:$E$56,0)+47</f>
        <v>#N/A</v>
      </c>
      <c r="IQ7">
        <f t="shared" si="182"/>
        <v>53</v>
      </c>
      <c r="IR7">
        <f ca="1">INDIRECT("Spieltage!$F"&amp;'i2'!IQ7)</f>
        <v>0</v>
      </c>
      <c r="IS7" s="35" t="s">
        <v>12</v>
      </c>
      <c r="IT7" s="97">
        <f ca="1">INDIRECT("Spieltage!$H"&amp;'i2'!IQ7)</f>
        <v>0</v>
      </c>
      <c r="IU7" t="str">
        <f t="shared" si="183"/>
        <v>H</v>
      </c>
      <c r="IV7">
        <f t="shared" si="184"/>
        <v>1</v>
      </c>
      <c r="IW7" t="b">
        <f t="shared" ca="1" si="185"/>
        <v>0</v>
      </c>
      <c r="IX7" t="b">
        <f t="shared" ca="1" si="186"/>
        <v>1</v>
      </c>
      <c r="IY7" t="b">
        <f t="shared" ca="1" si="187"/>
        <v>0</v>
      </c>
      <c r="IZ7">
        <f t="shared" si="188"/>
        <v>0</v>
      </c>
      <c r="JA7">
        <f t="shared" si="189"/>
        <v>0</v>
      </c>
      <c r="JB7">
        <f t="shared" si="190"/>
        <v>0</v>
      </c>
      <c r="JC7">
        <f t="shared" ca="1" si="191"/>
        <v>0</v>
      </c>
      <c r="JD7">
        <f t="shared" ca="1" si="192"/>
        <v>0</v>
      </c>
      <c r="JE7">
        <f t="shared" ca="1" si="193"/>
        <v>1</v>
      </c>
      <c r="JF7" t="b">
        <f t="shared" si="194"/>
        <v>0</v>
      </c>
      <c r="JG7" s="6" t="b">
        <f t="shared" si="195"/>
        <v>0</v>
      </c>
      <c r="JH7" t="e">
        <f>MATCH(JH$2,Spieltage!$C$48:$C$56,0)+47</f>
        <v>#N/A</v>
      </c>
      <c r="JI7">
        <f>MATCH(JH$2,Spieltage!$E$48:$E$56,0)+47</f>
        <v>53</v>
      </c>
      <c r="JJ7">
        <f t="shared" si="196"/>
        <v>53</v>
      </c>
      <c r="JK7">
        <f ca="1">INDIRECT("Spieltage!$F"&amp;'i2'!JJ7)</f>
        <v>0</v>
      </c>
      <c r="JL7" s="35" t="s">
        <v>12</v>
      </c>
      <c r="JM7" s="97">
        <f ca="1">INDIRECT("Spieltage!$H"&amp;'i2'!JJ7)</f>
        <v>0</v>
      </c>
      <c r="JN7" t="str">
        <f t="shared" si="197"/>
        <v>A</v>
      </c>
      <c r="JO7">
        <f t="shared" si="198"/>
        <v>2</v>
      </c>
      <c r="JP7">
        <f t="shared" si="199"/>
        <v>0</v>
      </c>
      <c r="JQ7">
        <f t="shared" si="200"/>
        <v>0</v>
      </c>
      <c r="JR7">
        <f t="shared" si="201"/>
        <v>0</v>
      </c>
      <c r="JS7" t="b">
        <f t="shared" ca="1" si="202"/>
        <v>0</v>
      </c>
      <c r="JT7" t="b">
        <f t="shared" ca="1" si="203"/>
        <v>1</v>
      </c>
      <c r="JU7" t="b">
        <f t="shared" ca="1" si="204"/>
        <v>0</v>
      </c>
      <c r="JV7">
        <f t="shared" ca="1" si="205"/>
        <v>0</v>
      </c>
      <c r="JW7" t="b">
        <f t="shared" si="206"/>
        <v>0</v>
      </c>
      <c r="JX7" t="b">
        <f t="shared" si="207"/>
        <v>0</v>
      </c>
      <c r="JY7">
        <f t="shared" ca="1" si="208"/>
        <v>0</v>
      </c>
      <c r="JZ7" s="6">
        <f t="shared" ca="1" si="209"/>
        <v>1</v>
      </c>
      <c r="KA7">
        <f>MATCH(KA$2,Spieltage!$C$48:$C$56,0)+47</f>
        <v>50</v>
      </c>
      <c r="KB7" t="e">
        <f>MATCH(KA$2,Spieltage!$E$48:$E$56,0)+47</f>
        <v>#N/A</v>
      </c>
      <c r="KC7">
        <f t="shared" si="210"/>
        <v>50</v>
      </c>
      <c r="KD7">
        <f ca="1">INDIRECT("Spieltage!$F"&amp;'i2'!KC7)</f>
        <v>0</v>
      </c>
      <c r="KE7" s="35" t="s">
        <v>12</v>
      </c>
      <c r="KF7" s="97">
        <f ca="1">INDIRECT("Spieltage!$H"&amp;'i2'!KC7)</f>
        <v>0</v>
      </c>
      <c r="KG7" t="str">
        <f t="shared" si="211"/>
        <v>H</v>
      </c>
      <c r="KH7">
        <f t="shared" si="212"/>
        <v>1</v>
      </c>
      <c r="KI7" t="b">
        <f t="shared" ca="1" si="213"/>
        <v>0</v>
      </c>
      <c r="KJ7" t="b">
        <f t="shared" ca="1" si="214"/>
        <v>1</v>
      </c>
      <c r="KK7" t="b">
        <f t="shared" ca="1" si="215"/>
        <v>0</v>
      </c>
      <c r="KL7">
        <f t="shared" si="216"/>
        <v>0</v>
      </c>
      <c r="KM7">
        <f t="shared" si="217"/>
        <v>0</v>
      </c>
      <c r="KN7">
        <f t="shared" si="218"/>
        <v>0</v>
      </c>
      <c r="KO7">
        <f t="shared" ca="1" si="219"/>
        <v>0</v>
      </c>
      <c r="KP7">
        <f t="shared" ca="1" si="220"/>
        <v>0</v>
      </c>
      <c r="KQ7">
        <f t="shared" ca="1" si="221"/>
        <v>1</v>
      </c>
      <c r="KR7" t="b">
        <f t="shared" si="222"/>
        <v>0</v>
      </c>
      <c r="KS7" s="6" t="b">
        <f t="shared" si="223"/>
        <v>0</v>
      </c>
      <c r="KT7" t="e">
        <f>MATCH(KT$2,Spieltage!$C$48:$C$56,0)+47</f>
        <v>#N/A</v>
      </c>
      <c r="KU7">
        <f>MATCH(KT$2,Spieltage!$E$48:$E$56,0)+47</f>
        <v>56</v>
      </c>
      <c r="KV7">
        <f t="shared" si="224"/>
        <v>56</v>
      </c>
      <c r="KW7">
        <f ca="1">INDIRECT("Spieltage!$F"&amp;'i2'!KV7)</f>
        <v>0</v>
      </c>
      <c r="KX7" s="35" t="s">
        <v>12</v>
      </c>
      <c r="KY7" s="97">
        <f ca="1">INDIRECT("Spieltage!$H"&amp;'i2'!KV7)</f>
        <v>0</v>
      </c>
      <c r="KZ7" t="str">
        <f t="shared" si="225"/>
        <v>A</v>
      </c>
      <c r="LA7">
        <f t="shared" si="226"/>
        <v>2</v>
      </c>
      <c r="LB7">
        <f t="shared" si="227"/>
        <v>0</v>
      </c>
      <c r="LC7">
        <f t="shared" si="228"/>
        <v>0</v>
      </c>
      <c r="LD7">
        <f t="shared" si="229"/>
        <v>0</v>
      </c>
      <c r="LE7" t="b">
        <f t="shared" ca="1" si="230"/>
        <v>0</v>
      </c>
      <c r="LF7" t="b">
        <f t="shared" ca="1" si="231"/>
        <v>1</v>
      </c>
      <c r="LG7" t="b">
        <f t="shared" ca="1" si="232"/>
        <v>0</v>
      </c>
      <c r="LH7">
        <f t="shared" ca="1" si="233"/>
        <v>0</v>
      </c>
      <c r="LI7" t="b">
        <f t="shared" si="234"/>
        <v>0</v>
      </c>
      <c r="LJ7" t="b">
        <f t="shared" si="235"/>
        <v>0</v>
      </c>
      <c r="LK7">
        <f t="shared" ca="1" si="236"/>
        <v>0</v>
      </c>
      <c r="LL7" s="6">
        <f t="shared" ca="1" si="237"/>
        <v>1</v>
      </c>
      <c r="LM7" t="e">
        <f>MATCH(LM$2,Spieltage!$C$48:$C$56,0)+47</f>
        <v>#N/A</v>
      </c>
      <c r="LN7">
        <f>MATCH(LM$2,Spieltage!$E$48:$E$56,0)+47</f>
        <v>50</v>
      </c>
      <c r="LO7">
        <f t="shared" si="238"/>
        <v>50</v>
      </c>
      <c r="LP7">
        <f ca="1">INDIRECT("Spieltage!$F"&amp;'i2'!LO7)</f>
        <v>0</v>
      </c>
      <c r="LQ7" s="35" t="s">
        <v>12</v>
      </c>
      <c r="LR7" s="97">
        <f ca="1">INDIRECT("Spieltage!$H"&amp;'i2'!LO7)</f>
        <v>0</v>
      </c>
      <c r="LS7" t="str">
        <f t="shared" si="239"/>
        <v>A</v>
      </c>
      <c r="LT7">
        <f t="shared" si="240"/>
        <v>2</v>
      </c>
      <c r="LU7">
        <f t="shared" si="241"/>
        <v>0</v>
      </c>
      <c r="LV7">
        <f t="shared" si="242"/>
        <v>0</v>
      </c>
      <c r="LW7">
        <f t="shared" si="243"/>
        <v>0</v>
      </c>
      <c r="LX7" t="b">
        <f t="shared" ca="1" si="244"/>
        <v>0</v>
      </c>
      <c r="LY7" t="b">
        <f t="shared" ca="1" si="245"/>
        <v>1</v>
      </c>
      <c r="LZ7" t="b">
        <f t="shared" ca="1" si="246"/>
        <v>0</v>
      </c>
      <c r="MA7">
        <f t="shared" ca="1" si="247"/>
        <v>0</v>
      </c>
      <c r="MB7" t="b">
        <f t="shared" si="248"/>
        <v>0</v>
      </c>
      <c r="MC7" t="b">
        <f t="shared" si="249"/>
        <v>0</v>
      </c>
      <c r="MD7">
        <f t="shared" ca="1" si="250"/>
        <v>0</v>
      </c>
      <c r="ME7" s="6">
        <f t="shared" ca="1" si="251"/>
        <v>1</v>
      </c>
    </row>
    <row r="8" spans="1:343" x14ac:dyDescent="0.2">
      <c r="A8" s="104" t="s">
        <v>157</v>
      </c>
      <c r="B8">
        <f>MATCH(B$2,Spieltage!$C$63:$C$71,0)+62</f>
        <v>63</v>
      </c>
      <c r="C8" t="e">
        <f>MATCH(B$2,Spieltage!$E$63:$E$71,0)+62</f>
        <v>#N/A</v>
      </c>
      <c r="D8">
        <f t="shared" si="0"/>
        <v>63</v>
      </c>
      <c r="E8">
        <f ca="1">INDIRECT("Spieltage!$F"&amp;'i2'!D8)</f>
        <v>0</v>
      </c>
      <c r="F8" s="35" t="s">
        <v>12</v>
      </c>
      <c r="G8" s="97">
        <f ca="1">INDIRECT("Spieltage!$H"&amp;'i2'!D8)</f>
        <v>0</v>
      </c>
      <c r="H8" t="str">
        <f t="shared" si="1"/>
        <v>H</v>
      </c>
      <c r="I8">
        <f t="shared" si="2"/>
        <v>1</v>
      </c>
      <c r="J8" t="b">
        <f t="shared" ca="1" si="3"/>
        <v>0</v>
      </c>
      <c r="K8" t="b">
        <f t="shared" ca="1" si="4"/>
        <v>1</v>
      </c>
      <c r="L8" t="b">
        <f t="shared" ca="1" si="5"/>
        <v>0</v>
      </c>
      <c r="M8">
        <f t="shared" si="6"/>
        <v>0</v>
      </c>
      <c r="N8">
        <f t="shared" si="7"/>
        <v>0</v>
      </c>
      <c r="O8">
        <f t="shared" si="8"/>
        <v>0</v>
      </c>
      <c r="P8">
        <f t="shared" ca="1" si="9"/>
        <v>0</v>
      </c>
      <c r="Q8">
        <f t="shared" ca="1" si="10"/>
        <v>0</v>
      </c>
      <c r="R8">
        <f t="shared" ca="1" si="11"/>
        <v>1</v>
      </c>
      <c r="S8" t="b">
        <f t="shared" si="12"/>
        <v>0</v>
      </c>
      <c r="T8" s="6" t="b">
        <f t="shared" si="13"/>
        <v>0</v>
      </c>
      <c r="U8" t="e">
        <f>MATCH(U$2,Spieltage!$C$63:$C$71,0)+62</f>
        <v>#N/A</v>
      </c>
      <c r="V8">
        <f>MATCH(U$2,Spieltage!$E$63:$E$71,0)+62</f>
        <v>67</v>
      </c>
      <c r="W8">
        <f t="shared" si="14"/>
        <v>67</v>
      </c>
      <c r="X8">
        <f ca="1">INDIRECT("Spieltage!$F"&amp;'i2'!W8)</f>
        <v>0</v>
      </c>
      <c r="Y8" s="35" t="s">
        <v>12</v>
      </c>
      <c r="Z8" s="97">
        <f ca="1">INDIRECT("Spieltage!$H"&amp;'i2'!W8)</f>
        <v>0</v>
      </c>
      <c r="AA8" t="str">
        <f t="shared" si="15"/>
        <v>A</v>
      </c>
      <c r="AB8">
        <f t="shared" si="16"/>
        <v>2</v>
      </c>
      <c r="AC8">
        <f t="shared" si="17"/>
        <v>0</v>
      </c>
      <c r="AD8">
        <f t="shared" si="18"/>
        <v>0</v>
      </c>
      <c r="AE8">
        <f t="shared" si="19"/>
        <v>0</v>
      </c>
      <c r="AF8" t="b">
        <f t="shared" ca="1" si="20"/>
        <v>0</v>
      </c>
      <c r="AG8" t="b">
        <f t="shared" ca="1" si="21"/>
        <v>1</v>
      </c>
      <c r="AH8" t="b">
        <f t="shared" ca="1" si="22"/>
        <v>0</v>
      </c>
      <c r="AI8">
        <f t="shared" ca="1" si="23"/>
        <v>0</v>
      </c>
      <c r="AJ8" t="b">
        <f t="shared" si="24"/>
        <v>0</v>
      </c>
      <c r="AK8" t="b">
        <f t="shared" si="25"/>
        <v>0</v>
      </c>
      <c r="AL8">
        <f t="shared" ca="1" si="26"/>
        <v>0</v>
      </c>
      <c r="AM8" s="6">
        <f t="shared" ca="1" si="27"/>
        <v>1</v>
      </c>
      <c r="AN8" t="e">
        <f>MATCH(AN$2,Spieltage!$C$63:$C$71,0)+62</f>
        <v>#N/A</v>
      </c>
      <c r="AO8">
        <f>MATCH(AN$2,Spieltage!$E$63:$E$71,0)+62</f>
        <v>69</v>
      </c>
      <c r="AP8">
        <f t="shared" si="28"/>
        <v>69</v>
      </c>
      <c r="AQ8">
        <f ca="1">INDIRECT("Spieltage!$F"&amp;'i2'!AP8)</f>
        <v>0</v>
      </c>
      <c r="AR8" s="35" t="s">
        <v>12</v>
      </c>
      <c r="AS8" s="97">
        <f ca="1">INDIRECT("Spieltage!$H"&amp;'i2'!AP8)</f>
        <v>0</v>
      </c>
      <c r="AT8" t="str">
        <f t="shared" si="29"/>
        <v>A</v>
      </c>
      <c r="AU8">
        <f t="shared" si="30"/>
        <v>2</v>
      </c>
      <c r="AV8">
        <f t="shared" si="31"/>
        <v>0</v>
      </c>
      <c r="AW8">
        <f t="shared" si="32"/>
        <v>0</v>
      </c>
      <c r="AX8">
        <f t="shared" si="33"/>
        <v>0</v>
      </c>
      <c r="AY8" t="b">
        <f t="shared" ca="1" si="34"/>
        <v>0</v>
      </c>
      <c r="AZ8" t="b">
        <f t="shared" ca="1" si="35"/>
        <v>1</v>
      </c>
      <c r="BA8" t="b">
        <f t="shared" ca="1" si="36"/>
        <v>0</v>
      </c>
      <c r="BB8">
        <f t="shared" ca="1" si="37"/>
        <v>0</v>
      </c>
      <c r="BC8" t="b">
        <f t="shared" si="38"/>
        <v>0</v>
      </c>
      <c r="BD8" t="b">
        <f t="shared" si="39"/>
        <v>0</v>
      </c>
      <c r="BE8">
        <f t="shared" ca="1" si="40"/>
        <v>0</v>
      </c>
      <c r="BF8" s="6">
        <f t="shared" ca="1" si="41"/>
        <v>1</v>
      </c>
      <c r="BG8" t="e">
        <f>MATCH(BG$2,Spieltage!$C$63:$C$71,0)+62</f>
        <v>#N/A</v>
      </c>
      <c r="BH8">
        <f>MATCH(BG$2,Spieltage!$E$63:$E$71,0)+62</f>
        <v>64</v>
      </c>
      <c r="BI8">
        <f t="shared" si="42"/>
        <v>64</v>
      </c>
      <c r="BJ8">
        <f ca="1">INDIRECT("Spieltage!$F"&amp;'i2'!BI8)</f>
        <v>0</v>
      </c>
      <c r="BK8" s="35" t="s">
        <v>12</v>
      </c>
      <c r="BL8" s="97">
        <f ca="1">INDIRECT("Spieltage!$H"&amp;'i2'!BI8)</f>
        <v>0</v>
      </c>
      <c r="BM8" t="str">
        <f t="shared" si="43"/>
        <v>A</v>
      </c>
      <c r="BN8">
        <f t="shared" si="44"/>
        <v>2</v>
      </c>
      <c r="BO8">
        <f t="shared" si="45"/>
        <v>0</v>
      </c>
      <c r="BP8">
        <f t="shared" si="46"/>
        <v>0</v>
      </c>
      <c r="BQ8">
        <f t="shared" si="47"/>
        <v>0</v>
      </c>
      <c r="BR8" t="b">
        <f t="shared" ca="1" si="48"/>
        <v>0</v>
      </c>
      <c r="BS8" t="b">
        <f t="shared" ca="1" si="49"/>
        <v>1</v>
      </c>
      <c r="BT8" t="b">
        <f t="shared" ca="1" si="50"/>
        <v>0</v>
      </c>
      <c r="BU8">
        <f t="shared" ca="1" si="51"/>
        <v>0</v>
      </c>
      <c r="BV8" t="b">
        <f t="shared" si="52"/>
        <v>0</v>
      </c>
      <c r="BW8" t="b">
        <f t="shared" si="53"/>
        <v>0</v>
      </c>
      <c r="BX8">
        <f t="shared" ca="1" si="54"/>
        <v>0</v>
      </c>
      <c r="BY8" s="6">
        <f t="shared" ca="1" si="55"/>
        <v>1</v>
      </c>
      <c r="BZ8" t="e">
        <f>MATCH(BZ$2,Spieltage!$C$63:$C$71,0)+62</f>
        <v>#N/A</v>
      </c>
      <c r="CA8">
        <f>MATCH(BZ$2,Spieltage!$E$63:$E$71,0)+62</f>
        <v>66</v>
      </c>
      <c r="CB8">
        <f t="shared" si="56"/>
        <v>66</v>
      </c>
      <c r="CC8">
        <f ca="1">INDIRECT("Spieltage!$F"&amp;'i2'!CB8)</f>
        <v>0</v>
      </c>
      <c r="CD8" s="35" t="s">
        <v>12</v>
      </c>
      <c r="CE8" s="97">
        <f ca="1">INDIRECT("Spieltage!$H"&amp;'i2'!CB8)</f>
        <v>0</v>
      </c>
      <c r="CF8" t="str">
        <f t="shared" si="57"/>
        <v>A</v>
      </c>
      <c r="CG8">
        <f t="shared" si="58"/>
        <v>2</v>
      </c>
      <c r="CH8">
        <f t="shared" si="59"/>
        <v>0</v>
      </c>
      <c r="CI8">
        <f t="shared" si="60"/>
        <v>0</v>
      </c>
      <c r="CJ8">
        <f t="shared" si="61"/>
        <v>0</v>
      </c>
      <c r="CK8" t="b">
        <f t="shared" ca="1" si="62"/>
        <v>0</v>
      </c>
      <c r="CL8" t="b">
        <f t="shared" ca="1" si="63"/>
        <v>1</v>
      </c>
      <c r="CM8" t="b">
        <f t="shared" ca="1" si="64"/>
        <v>0</v>
      </c>
      <c r="CN8">
        <f t="shared" ca="1" si="65"/>
        <v>0</v>
      </c>
      <c r="CO8" t="b">
        <f t="shared" si="66"/>
        <v>0</v>
      </c>
      <c r="CP8" t="b">
        <f t="shared" si="67"/>
        <v>0</v>
      </c>
      <c r="CQ8">
        <f t="shared" ca="1" si="68"/>
        <v>0</v>
      </c>
      <c r="CR8" s="6">
        <f t="shared" ca="1" si="69"/>
        <v>1</v>
      </c>
      <c r="CS8" t="e">
        <f>MATCH(CS$2,Spieltage!$C$63:$C$71,0)+62</f>
        <v>#N/A</v>
      </c>
      <c r="CT8">
        <f>MATCH(CS$2,Spieltage!$E$63:$E$71,0)+62</f>
        <v>63</v>
      </c>
      <c r="CU8">
        <f t="shared" si="70"/>
        <v>63</v>
      </c>
      <c r="CV8">
        <f ca="1">INDIRECT("Spieltage!$F"&amp;'i2'!CU8)</f>
        <v>0</v>
      </c>
      <c r="CW8" s="35" t="s">
        <v>12</v>
      </c>
      <c r="CX8" s="97">
        <f ca="1">INDIRECT("Spieltage!$H"&amp;'i2'!CU8)</f>
        <v>0</v>
      </c>
      <c r="CY8" t="str">
        <f t="shared" si="71"/>
        <v>A</v>
      </c>
      <c r="CZ8">
        <f t="shared" si="72"/>
        <v>2</v>
      </c>
      <c r="DA8">
        <f t="shared" si="73"/>
        <v>0</v>
      </c>
      <c r="DB8">
        <f t="shared" si="74"/>
        <v>0</v>
      </c>
      <c r="DC8">
        <f t="shared" si="75"/>
        <v>0</v>
      </c>
      <c r="DD8" t="b">
        <f t="shared" ca="1" si="76"/>
        <v>0</v>
      </c>
      <c r="DE8" t="b">
        <f t="shared" ca="1" si="77"/>
        <v>1</v>
      </c>
      <c r="DF8" t="b">
        <f t="shared" ca="1" si="78"/>
        <v>0</v>
      </c>
      <c r="DG8">
        <f t="shared" ca="1" si="79"/>
        <v>0</v>
      </c>
      <c r="DH8" t="b">
        <f t="shared" si="80"/>
        <v>0</v>
      </c>
      <c r="DI8" t="b">
        <f t="shared" si="81"/>
        <v>0</v>
      </c>
      <c r="DJ8">
        <f t="shared" ca="1" si="82"/>
        <v>0</v>
      </c>
      <c r="DK8" s="6">
        <f t="shared" ca="1" si="83"/>
        <v>1</v>
      </c>
      <c r="DL8">
        <f>MATCH(DL$2,Spieltage!$C$63:$C$71,0)+62</f>
        <v>64</v>
      </c>
      <c r="DM8" t="e">
        <f>MATCH(DL$2,Spieltage!$E$63:$E$71,0)+62</f>
        <v>#N/A</v>
      </c>
      <c r="DN8">
        <f t="shared" si="84"/>
        <v>64</v>
      </c>
      <c r="DO8">
        <f ca="1">INDIRECT("Spieltage!$F"&amp;'i2'!DN8)</f>
        <v>0</v>
      </c>
      <c r="DP8" s="35" t="s">
        <v>12</v>
      </c>
      <c r="DQ8" s="97">
        <f ca="1">INDIRECT("Spieltage!$H"&amp;'i2'!DN8)</f>
        <v>0</v>
      </c>
      <c r="DR8" t="str">
        <f t="shared" si="85"/>
        <v>H</v>
      </c>
      <c r="DS8">
        <f t="shared" si="86"/>
        <v>1</v>
      </c>
      <c r="DT8" t="b">
        <f t="shared" ca="1" si="87"/>
        <v>0</v>
      </c>
      <c r="DU8" t="b">
        <f t="shared" ca="1" si="88"/>
        <v>1</v>
      </c>
      <c r="DV8" t="b">
        <f t="shared" ca="1" si="89"/>
        <v>0</v>
      </c>
      <c r="DW8">
        <f t="shared" si="90"/>
        <v>0</v>
      </c>
      <c r="DX8">
        <f t="shared" si="91"/>
        <v>0</v>
      </c>
      <c r="DY8">
        <f t="shared" si="92"/>
        <v>0</v>
      </c>
      <c r="DZ8">
        <f t="shared" ca="1" si="93"/>
        <v>0</v>
      </c>
      <c r="EA8">
        <f t="shared" ca="1" si="94"/>
        <v>0</v>
      </c>
      <c r="EB8">
        <f t="shared" ca="1" si="95"/>
        <v>1</v>
      </c>
      <c r="EC8" t="b">
        <f t="shared" si="96"/>
        <v>0</v>
      </c>
      <c r="ED8" s="6" t="b">
        <f t="shared" si="97"/>
        <v>0</v>
      </c>
      <c r="EE8" t="e">
        <f>MATCH(EE$2,Spieltage!$C$63:$C$71,0)+62</f>
        <v>#N/A</v>
      </c>
      <c r="EF8">
        <f>MATCH(EE$2,Spieltage!$E$63:$E$71,0)+62</f>
        <v>70</v>
      </c>
      <c r="EG8">
        <f t="shared" si="98"/>
        <v>70</v>
      </c>
      <c r="EH8">
        <f ca="1">INDIRECT("Spieltage!$F"&amp;'i2'!EG8)</f>
        <v>0</v>
      </c>
      <c r="EI8" s="35" t="s">
        <v>12</v>
      </c>
      <c r="EJ8" s="97">
        <f ca="1">INDIRECT("Spieltage!$H"&amp;'i2'!EG8)</f>
        <v>0</v>
      </c>
      <c r="EK8" t="str">
        <f t="shared" si="99"/>
        <v>A</v>
      </c>
      <c r="EL8">
        <f t="shared" si="100"/>
        <v>2</v>
      </c>
      <c r="EM8">
        <f t="shared" si="101"/>
        <v>0</v>
      </c>
      <c r="EN8">
        <f t="shared" si="102"/>
        <v>0</v>
      </c>
      <c r="EO8">
        <f t="shared" si="103"/>
        <v>0</v>
      </c>
      <c r="EP8" t="b">
        <f t="shared" ca="1" si="104"/>
        <v>0</v>
      </c>
      <c r="EQ8" t="b">
        <f t="shared" ca="1" si="105"/>
        <v>1</v>
      </c>
      <c r="ER8" t="b">
        <f t="shared" ca="1" si="106"/>
        <v>0</v>
      </c>
      <c r="ES8">
        <f t="shared" ca="1" si="107"/>
        <v>0</v>
      </c>
      <c r="ET8" t="b">
        <f t="shared" si="108"/>
        <v>0</v>
      </c>
      <c r="EU8" t="b">
        <f t="shared" si="109"/>
        <v>0</v>
      </c>
      <c r="EV8">
        <f t="shared" ca="1" si="110"/>
        <v>0</v>
      </c>
      <c r="EW8" s="6">
        <f t="shared" ca="1" si="111"/>
        <v>1</v>
      </c>
      <c r="EX8">
        <f>MATCH(EX$2,Spieltage!$C$63:$C$71,0)+62</f>
        <v>65</v>
      </c>
      <c r="EY8" t="e">
        <f>MATCH(EX$2,Spieltage!$E$63:$E$71,0)+62</f>
        <v>#N/A</v>
      </c>
      <c r="EZ8">
        <f t="shared" si="112"/>
        <v>65</v>
      </c>
      <c r="FA8">
        <f ca="1">INDIRECT("Spieltage!$F"&amp;'i2'!EZ8)</f>
        <v>0</v>
      </c>
      <c r="FB8" s="35" t="s">
        <v>12</v>
      </c>
      <c r="FC8" s="97">
        <f ca="1">INDIRECT("Spieltage!$H"&amp;'i2'!EZ8)</f>
        <v>0</v>
      </c>
      <c r="FD8" t="str">
        <f t="shared" si="113"/>
        <v>H</v>
      </c>
      <c r="FE8">
        <f t="shared" si="114"/>
        <v>1</v>
      </c>
      <c r="FF8" t="b">
        <f t="shared" ca="1" si="115"/>
        <v>0</v>
      </c>
      <c r="FG8" t="b">
        <f t="shared" ca="1" si="116"/>
        <v>1</v>
      </c>
      <c r="FH8" t="b">
        <f t="shared" ca="1" si="117"/>
        <v>0</v>
      </c>
      <c r="FI8">
        <f t="shared" si="118"/>
        <v>0</v>
      </c>
      <c r="FJ8">
        <f t="shared" si="119"/>
        <v>0</v>
      </c>
      <c r="FK8">
        <f t="shared" si="120"/>
        <v>0</v>
      </c>
      <c r="FL8">
        <f t="shared" ca="1" si="121"/>
        <v>0</v>
      </c>
      <c r="FM8">
        <f t="shared" ca="1" si="122"/>
        <v>0</v>
      </c>
      <c r="FN8">
        <f t="shared" ca="1" si="123"/>
        <v>1</v>
      </c>
      <c r="FO8" t="b">
        <f t="shared" si="124"/>
        <v>0</v>
      </c>
      <c r="FP8" s="6" t="b">
        <f t="shared" si="125"/>
        <v>0</v>
      </c>
      <c r="FQ8">
        <f>MATCH(FQ$2,Spieltage!$C$63:$C$71,0)+62</f>
        <v>71</v>
      </c>
      <c r="FR8" t="e">
        <f>MATCH(FQ$2,Spieltage!$E$63:$E$71,0)+62</f>
        <v>#N/A</v>
      </c>
      <c r="FS8">
        <f t="shared" si="126"/>
        <v>71</v>
      </c>
      <c r="FT8">
        <f ca="1">INDIRECT("Spieltage!$F"&amp;'i2'!FS8)</f>
        <v>0</v>
      </c>
      <c r="FU8" s="35" t="s">
        <v>12</v>
      </c>
      <c r="FV8" s="97">
        <f ca="1">INDIRECT("Spieltage!$H"&amp;'i2'!FS8)</f>
        <v>0</v>
      </c>
      <c r="FW8" t="str">
        <f t="shared" si="127"/>
        <v>H</v>
      </c>
      <c r="FX8">
        <f t="shared" si="128"/>
        <v>1</v>
      </c>
      <c r="FY8" t="b">
        <f t="shared" ca="1" si="129"/>
        <v>0</v>
      </c>
      <c r="FZ8" t="b">
        <f t="shared" ca="1" si="130"/>
        <v>1</v>
      </c>
      <c r="GA8" t="b">
        <f t="shared" ca="1" si="131"/>
        <v>0</v>
      </c>
      <c r="GB8">
        <f t="shared" si="132"/>
        <v>0</v>
      </c>
      <c r="GC8">
        <f t="shared" si="133"/>
        <v>0</v>
      </c>
      <c r="GD8">
        <f t="shared" si="134"/>
        <v>0</v>
      </c>
      <c r="GE8">
        <f t="shared" ca="1" si="135"/>
        <v>0</v>
      </c>
      <c r="GF8">
        <f t="shared" ca="1" si="136"/>
        <v>0</v>
      </c>
      <c r="GG8">
        <f t="shared" ca="1" si="137"/>
        <v>1</v>
      </c>
      <c r="GH8" t="b">
        <f t="shared" si="138"/>
        <v>0</v>
      </c>
      <c r="GI8" s="6" t="b">
        <f t="shared" si="139"/>
        <v>0</v>
      </c>
      <c r="GJ8">
        <f>MATCH(GJ$2,Spieltage!$C$63:$C$71,0)+62</f>
        <v>66</v>
      </c>
      <c r="GK8" t="e">
        <f>MATCH(GJ$2,Spieltage!$E$63:$E$71,0)+62</f>
        <v>#N/A</v>
      </c>
      <c r="GL8">
        <f t="shared" si="140"/>
        <v>66</v>
      </c>
      <c r="GM8">
        <f ca="1">INDIRECT("Spieltage!$F"&amp;'i2'!GL8)</f>
        <v>0</v>
      </c>
      <c r="GN8" s="35" t="s">
        <v>12</v>
      </c>
      <c r="GO8" s="97">
        <f ca="1">INDIRECT("Spieltage!$H"&amp;'i2'!GL8)</f>
        <v>0</v>
      </c>
      <c r="GP8" t="str">
        <f t="shared" si="141"/>
        <v>H</v>
      </c>
      <c r="GQ8">
        <f t="shared" si="142"/>
        <v>1</v>
      </c>
      <c r="GR8" t="b">
        <f t="shared" ca="1" si="143"/>
        <v>0</v>
      </c>
      <c r="GS8" t="b">
        <f t="shared" ca="1" si="144"/>
        <v>1</v>
      </c>
      <c r="GT8" t="b">
        <f t="shared" ca="1" si="145"/>
        <v>0</v>
      </c>
      <c r="GU8">
        <f t="shared" si="146"/>
        <v>0</v>
      </c>
      <c r="GV8">
        <f t="shared" si="147"/>
        <v>0</v>
      </c>
      <c r="GW8">
        <f t="shared" si="148"/>
        <v>0</v>
      </c>
      <c r="GX8">
        <f t="shared" ca="1" si="149"/>
        <v>0</v>
      </c>
      <c r="GY8">
        <f t="shared" ca="1" si="150"/>
        <v>0</v>
      </c>
      <c r="GZ8">
        <f t="shared" ca="1" si="151"/>
        <v>1</v>
      </c>
      <c r="HA8" t="b">
        <f t="shared" si="152"/>
        <v>0</v>
      </c>
      <c r="HB8" s="6" t="b">
        <f t="shared" si="153"/>
        <v>0</v>
      </c>
      <c r="HC8" t="e">
        <f>MATCH(HC$2,Spieltage!$C$63:$C$71,0)+62</f>
        <v>#N/A</v>
      </c>
      <c r="HD8">
        <f>MATCH(HC$2,Spieltage!$E$63:$E$71,0)+62</f>
        <v>68</v>
      </c>
      <c r="HE8">
        <f t="shared" si="154"/>
        <v>68</v>
      </c>
      <c r="HF8">
        <f ca="1">INDIRECT("Spieltage!$F"&amp;'i2'!HE8)</f>
        <v>0</v>
      </c>
      <c r="HG8" s="35" t="s">
        <v>12</v>
      </c>
      <c r="HH8" s="97">
        <f ca="1">INDIRECT("Spieltage!$H"&amp;'i2'!HE8)</f>
        <v>0</v>
      </c>
      <c r="HI8" t="str">
        <f t="shared" si="155"/>
        <v>A</v>
      </c>
      <c r="HJ8">
        <f t="shared" si="156"/>
        <v>2</v>
      </c>
      <c r="HK8">
        <f t="shared" si="157"/>
        <v>0</v>
      </c>
      <c r="HL8">
        <f t="shared" si="158"/>
        <v>0</v>
      </c>
      <c r="HM8">
        <f t="shared" si="159"/>
        <v>0</v>
      </c>
      <c r="HN8" t="b">
        <f t="shared" ca="1" si="160"/>
        <v>0</v>
      </c>
      <c r="HO8" t="b">
        <f t="shared" ca="1" si="161"/>
        <v>1</v>
      </c>
      <c r="HP8" t="b">
        <f t="shared" ca="1" si="162"/>
        <v>0</v>
      </c>
      <c r="HQ8">
        <f t="shared" ca="1" si="163"/>
        <v>0</v>
      </c>
      <c r="HR8" t="b">
        <f t="shared" si="164"/>
        <v>0</v>
      </c>
      <c r="HS8" t="b">
        <f t="shared" si="165"/>
        <v>0</v>
      </c>
      <c r="HT8">
        <f t="shared" ca="1" si="166"/>
        <v>0</v>
      </c>
      <c r="HU8" s="6">
        <f t="shared" ca="1" si="167"/>
        <v>1</v>
      </c>
      <c r="HV8">
        <f>MATCH(HV$2,Spieltage!$C$63:$C$71,0)+62</f>
        <v>68</v>
      </c>
      <c r="HW8" t="e">
        <f>MATCH(HV$2,Spieltage!$E$63:$E$71,0)+62</f>
        <v>#N/A</v>
      </c>
      <c r="HX8">
        <f t="shared" si="168"/>
        <v>68</v>
      </c>
      <c r="HY8">
        <f ca="1">INDIRECT("Spieltage!$F"&amp;'i2'!HX8)</f>
        <v>0</v>
      </c>
      <c r="HZ8" s="35" t="s">
        <v>12</v>
      </c>
      <c r="IA8" s="97">
        <f ca="1">INDIRECT("Spieltage!$H"&amp;'i2'!HX8)</f>
        <v>0</v>
      </c>
      <c r="IB8" t="str">
        <f t="shared" si="169"/>
        <v>H</v>
      </c>
      <c r="IC8">
        <f t="shared" si="170"/>
        <v>1</v>
      </c>
      <c r="ID8" t="b">
        <f t="shared" ca="1" si="171"/>
        <v>0</v>
      </c>
      <c r="IE8" t="b">
        <f t="shared" ca="1" si="172"/>
        <v>1</v>
      </c>
      <c r="IF8" t="b">
        <f t="shared" ca="1" si="173"/>
        <v>0</v>
      </c>
      <c r="IG8">
        <f t="shared" si="174"/>
        <v>0</v>
      </c>
      <c r="IH8">
        <f t="shared" si="175"/>
        <v>0</v>
      </c>
      <c r="II8">
        <f t="shared" si="176"/>
        <v>0</v>
      </c>
      <c r="IJ8">
        <f t="shared" ca="1" si="177"/>
        <v>0</v>
      </c>
      <c r="IK8">
        <f t="shared" ca="1" si="178"/>
        <v>0</v>
      </c>
      <c r="IL8">
        <f t="shared" ca="1" si="179"/>
        <v>1</v>
      </c>
      <c r="IM8" t="b">
        <f t="shared" si="180"/>
        <v>0</v>
      </c>
      <c r="IN8" s="6" t="b">
        <f t="shared" si="181"/>
        <v>0</v>
      </c>
      <c r="IO8" t="e">
        <f>MATCH(IO$2,Spieltage!$C$63:$C$71,0)+62</f>
        <v>#N/A</v>
      </c>
      <c r="IP8">
        <f>MATCH(IO$2,Spieltage!$E$63:$E$71,0)+62</f>
        <v>71</v>
      </c>
      <c r="IQ8">
        <f t="shared" si="182"/>
        <v>71</v>
      </c>
      <c r="IR8">
        <f ca="1">INDIRECT("Spieltage!$F"&amp;'i2'!IQ8)</f>
        <v>0</v>
      </c>
      <c r="IS8" s="35" t="s">
        <v>12</v>
      </c>
      <c r="IT8" s="97">
        <f ca="1">INDIRECT("Spieltage!$H"&amp;'i2'!IQ8)</f>
        <v>0</v>
      </c>
      <c r="IU8" t="str">
        <f t="shared" si="183"/>
        <v>A</v>
      </c>
      <c r="IV8">
        <f t="shared" si="184"/>
        <v>2</v>
      </c>
      <c r="IW8">
        <f t="shared" si="185"/>
        <v>0</v>
      </c>
      <c r="IX8">
        <f t="shared" si="186"/>
        <v>0</v>
      </c>
      <c r="IY8">
        <f t="shared" si="187"/>
        <v>0</v>
      </c>
      <c r="IZ8" t="b">
        <f t="shared" ca="1" si="188"/>
        <v>0</v>
      </c>
      <c r="JA8" t="b">
        <f t="shared" ca="1" si="189"/>
        <v>1</v>
      </c>
      <c r="JB8" t="b">
        <f t="shared" ca="1" si="190"/>
        <v>0</v>
      </c>
      <c r="JC8">
        <f t="shared" ca="1" si="191"/>
        <v>0</v>
      </c>
      <c r="JD8" t="b">
        <f t="shared" si="192"/>
        <v>0</v>
      </c>
      <c r="JE8" t="b">
        <f t="shared" si="193"/>
        <v>0</v>
      </c>
      <c r="JF8">
        <f t="shared" ca="1" si="194"/>
        <v>0</v>
      </c>
      <c r="JG8" s="6">
        <f t="shared" ca="1" si="195"/>
        <v>1</v>
      </c>
      <c r="JH8">
        <f>MATCH(JH$2,Spieltage!$C$63:$C$71,0)+62</f>
        <v>69</v>
      </c>
      <c r="JI8" t="e">
        <f>MATCH(JH$2,Spieltage!$E$63:$E$71,0)+62</f>
        <v>#N/A</v>
      </c>
      <c r="JJ8">
        <f t="shared" si="196"/>
        <v>69</v>
      </c>
      <c r="JK8">
        <f ca="1">INDIRECT("Spieltage!$F"&amp;'i2'!JJ8)</f>
        <v>0</v>
      </c>
      <c r="JL8" s="35" t="s">
        <v>12</v>
      </c>
      <c r="JM8" s="97">
        <f ca="1">INDIRECT("Spieltage!$H"&amp;'i2'!JJ8)</f>
        <v>0</v>
      </c>
      <c r="JN8" t="str">
        <f t="shared" si="197"/>
        <v>H</v>
      </c>
      <c r="JO8">
        <f t="shared" si="198"/>
        <v>1</v>
      </c>
      <c r="JP8" t="b">
        <f t="shared" ca="1" si="199"/>
        <v>0</v>
      </c>
      <c r="JQ8" t="b">
        <f t="shared" ca="1" si="200"/>
        <v>1</v>
      </c>
      <c r="JR8" t="b">
        <f t="shared" ca="1" si="201"/>
        <v>0</v>
      </c>
      <c r="JS8">
        <f t="shared" si="202"/>
        <v>0</v>
      </c>
      <c r="JT8">
        <f t="shared" si="203"/>
        <v>0</v>
      </c>
      <c r="JU8">
        <f t="shared" si="204"/>
        <v>0</v>
      </c>
      <c r="JV8">
        <f t="shared" ca="1" si="205"/>
        <v>0</v>
      </c>
      <c r="JW8">
        <f t="shared" ca="1" si="206"/>
        <v>0</v>
      </c>
      <c r="JX8">
        <f t="shared" ca="1" si="207"/>
        <v>1</v>
      </c>
      <c r="JY8" t="b">
        <f t="shared" si="208"/>
        <v>0</v>
      </c>
      <c r="JZ8" s="6" t="b">
        <f t="shared" si="209"/>
        <v>0</v>
      </c>
      <c r="KA8" t="e">
        <f>MATCH(KA$2,Spieltage!$C$63:$C$71,0)+62</f>
        <v>#N/A</v>
      </c>
      <c r="KB8">
        <f>MATCH(KA$2,Spieltage!$E$63:$E$71,0)+62</f>
        <v>65</v>
      </c>
      <c r="KC8">
        <f t="shared" si="210"/>
        <v>65</v>
      </c>
      <c r="KD8">
        <f ca="1">INDIRECT("Spieltage!$F"&amp;'i2'!KC8)</f>
        <v>0</v>
      </c>
      <c r="KE8" s="35" t="s">
        <v>12</v>
      </c>
      <c r="KF8" s="97">
        <f ca="1">INDIRECT("Spieltage!$H"&amp;'i2'!KC8)</f>
        <v>0</v>
      </c>
      <c r="KG8" t="str">
        <f t="shared" si="211"/>
        <v>A</v>
      </c>
      <c r="KH8">
        <f t="shared" si="212"/>
        <v>2</v>
      </c>
      <c r="KI8">
        <f t="shared" si="213"/>
        <v>0</v>
      </c>
      <c r="KJ8">
        <f t="shared" si="214"/>
        <v>0</v>
      </c>
      <c r="KK8">
        <f t="shared" si="215"/>
        <v>0</v>
      </c>
      <c r="KL8" t="b">
        <f t="shared" ca="1" si="216"/>
        <v>0</v>
      </c>
      <c r="KM8" t="b">
        <f t="shared" ca="1" si="217"/>
        <v>1</v>
      </c>
      <c r="KN8" t="b">
        <f t="shared" ca="1" si="218"/>
        <v>0</v>
      </c>
      <c r="KO8">
        <f t="shared" ca="1" si="219"/>
        <v>0</v>
      </c>
      <c r="KP8" t="b">
        <f t="shared" si="220"/>
        <v>0</v>
      </c>
      <c r="KQ8" t="b">
        <f t="shared" si="221"/>
        <v>0</v>
      </c>
      <c r="KR8">
        <f t="shared" ca="1" si="222"/>
        <v>0</v>
      </c>
      <c r="KS8" s="6">
        <f t="shared" ca="1" si="223"/>
        <v>1</v>
      </c>
      <c r="KT8">
        <f>MATCH(KT$2,Spieltage!$C$63:$C$71,0)+62</f>
        <v>70</v>
      </c>
      <c r="KU8" t="e">
        <f>MATCH(KT$2,Spieltage!$E$63:$E$71,0)+62</f>
        <v>#N/A</v>
      </c>
      <c r="KV8">
        <f t="shared" si="224"/>
        <v>70</v>
      </c>
      <c r="KW8">
        <f ca="1">INDIRECT("Spieltage!$F"&amp;'i2'!KV8)</f>
        <v>0</v>
      </c>
      <c r="KX8" s="35" t="s">
        <v>12</v>
      </c>
      <c r="KY8" s="97">
        <f ca="1">INDIRECT("Spieltage!$H"&amp;'i2'!KV8)</f>
        <v>0</v>
      </c>
      <c r="KZ8" t="str">
        <f t="shared" si="225"/>
        <v>H</v>
      </c>
      <c r="LA8">
        <f t="shared" si="226"/>
        <v>1</v>
      </c>
      <c r="LB8" t="b">
        <f t="shared" ca="1" si="227"/>
        <v>0</v>
      </c>
      <c r="LC8" t="b">
        <f t="shared" ca="1" si="228"/>
        <v>1</v>
      </c>
      <c r="LD8" t="b">
        <f t="shared" ca="1" si="229"/>
        <v>0</v>
      </c>
      <c r="LE8">
        <f t="shared" si="230"/>
        <v>0</v>
      </c>
      <c r="LF8">
        <f t="shared" si="231"/>
        <v>0</v>
      </c>
      <c r="LG8">
        <f t="shared" si="232"/>
        <v>0</v>
      </c>
      <c r="LH8">
        <f t="shared" ca="1" si="233"/>
        <v>0</v>
      </c>
      <c r="LI8">
        <f t="shared" ca="1" si="234"/>
        <v>0</v>
      </c>
      <c r="LJ8">
        <f t="shared" ca="1" si="235"/>
        <v>1</v>
      </c>
      <c r="LK8" t="b">
        <f t="shared" si="236"/>
        <v>0</v>
      </c>
      <c r="LL8" s="6" t="b">
        <f t="shared" si="237"/>
        <v>0</v>
      </c>
      <c r="LM8">
        <f>MATCH(LM$2,Spieltage!$C$63:$C$71,0)+62</f>
        <v>67</v>
      </c>
      <c r="LN8" t="e">
        <f>MATCH(LM$2,Spieltage!$E$63:$E$71,0)+62</f>
        <v>#N/A</v>
      </c>
      <c r="LO8">
        <f t="shared" si="238"/>
        <v>67</v>
      </c>
      <c r="LP8">
        <f ca="1">INDIRECT("Spieltage!$F"&amp;'i2'!LO8)</f>
        <v>0</v>
      </c>
      <c r="LQ8" s="35" t="s">
        <v>12</v>
      </c>
      <c r="LR8" s="97">
        <f ca="1">INDIRECT("Spieltage!$H"&amp;'i2'!LO8)</f>
        <v>0</v>
      </c>
      <c r="LS8" t="str">
        <f t="shared" si="239"/>
        <v>H</v>
      </c>
      <c r="LT8">
        <f t="shared" si="240"/>
        <v>1</v>
      </c>
      <c r="LU8" t="b">
        <f t="shared" ca="1" si="241"/>
        <v>0</v>
      </c>
      <c r="LV8" t="b">
        <f t="shared" ca="1" si="242"/>
        <v>1</v>
      </c>
      <c r="LW8" t="b">
        <f t="shared" ca="1" si="243"/>
        <v>0</v>
      </c>
      <c r="LX8">
        <f t="shared" si="244"/>
        <v>0</v>
      </c>
      <c r="LY8">
        <f t="shared" si="245"/>
        <v>0</v>
      </c>
      <c r="LZ8">
        <f t="shared" si="246"/>
        <v>0</v>
      </c>
      <c r="MA8">
        <f t="shared" ca="1" si="247"/>
        <v>0</v>
      </c>
      <c r="MB8">
        <f t="shared" ca="1" si="248"/>
        <v>0</v>
      </c>
      <c r="MC8">
        <f t="shared" ca="1" si="249"/>
        <v>1</v>
      </c>
      <c r="MD8" t="b">
        <f t="shared" si="250"/>
        <v>0</v>
      </c>
      <c r="ME8" s="6" t="b">
        <f t="shared" si="251"/>
        <v>0</v>
      </c>
    </row>
    <row r="9" spans="1:343" x14ac:dyDescent="0.2">
      <c r="A9" s="104" t="s">
        <v>158</v>
      </c>
      <c r="B9" t="e">
        <f>MATCH(B$2,Spieltage!$C$78:$C$86,0)+77</f>
        <v>#N/A</v>
      </c>
      <c r="C9">
        <f>MATCH(B$2,Spieltage!$E$78:$E$86,0)+77</f>
        <v>79</v>
      </c>
      <c r="D9">
        <f t="shared" si="0"/>
        <v>79</v>
      </c>
      <c r="E9">
        <f ca="1">INDIRECT("Spieltage!$F"&amp;'i2'!D9)</f>
        <v>0</v>
      </c>
      <c r="F9" s="35" t="s">
        <v>12</v>
      </c>
      <c r="G9" s="97">
        <f ca="1">INDIRECT("Spieltage!$H"&amp;'i2'!D9)</f>
        <v>0</v>
      </c>
      <c r="H9" t="str">
        <f t="shared" si="1"/>
        <v>A</v>
      </c>
      <c r="I9">
        <f t="shared" si="2"/>
        <v>2</v>
      </c>
      <c r="J9">
        <f t="shared" si="3"/>
        <v>0</v>
      </c>
      <c r="K9">
        <f t="shared" si="4"/>
        <v>0</v>
      </c>
      <c r="L9">
        <f t="shared" si="5"/>
        <v>0</v>
      </c>
      <c r="M9" t="b">
        <f t="shared" ca="1" si="6"/>
        <v>0</v>
      </c>
      <c r="N9" t="b">
        <f t="shared" ca="1" si="7"/>
        <v>1</v>
      </c>
      <c r="O9" t="b">
        <f t="shared" ca="1" si="8"/>
        <v>0</v>
      </c>
      <c r="P9">
        <f t="shared" ca="1" si="9"/>
        <v>0</v>
      </c>
      <c r="Q9" t="b">
        <f t="shared" si="10"/>
        <v>0</v>
      </c>
      <c r="R9" t="b">
        <f t="shared" si="11"/>
        <v>0</v>
      </c>
      <c r="S9">
        <f t="shared" ca="1" si="12"/>
        <v>0</v>
      </c>
      <c r="T9" s="6">
        <f t="shared" ca="1" si="13"/>
        <v>1</v>
      </c>
      <c r="U9" t="e">
        <f>MATCH(U$2,Spieltage!$C$78:$C$86,0)+77</f>
        <v>#N/A</v>
      </c>
      <c r="V9">
        <f>MATCH(U$2,Spieltage!$E$78:$E$86,0)+77</f>
        <v>80</v>
      </c>
      <c r="W9">
        <f t="shared" si="14"/>
        <v>80</v>
      </c>
      <c r="X9">
        <f ca="1">INDIRECT("Spieltage!$F"&amp;'i2'!W9)</f>
        <v>0</v>
      </c>
      <c r="Y9" s="35" t="s">
        <v>12</v>
      </c>
      <c r="Z9" s="97">
        <f ca="1">INDIRECT("Spieltage!$H"&amp;'i2'!W9)</f>
        <v>0</v>
      </c>
      <c r="AA9" t="str">
        <f t="shared" si="15"/>
        <v>A</v>
      </c>
      <c r="AB9">
        <f t="shared" si="16"/>
        <v>2</v>
      </c>
      <c r="AC9">
        <f t="shared" si="17"/>
        <v>0</v>
      </c>
      <c r="AD9">
        <f t="shared" si="18"/>
        <v>0</v>
      </c>
      <c r="AE9">
        <f t="shared" si="19"/>
        <v>0</v>
      </c>
      <c r="AF9" t="b">
        <f t="shared" ca="1" si="20"/>
        <v>0</v>
      </c>
      <c r="AG9" t="b">
        <f t="shared" ca="1" si="21"/>
        <v>1</v>
      </c>
      <c r="AH9" t="b">
        <f t="shared" ca="1" si="22"/>
        <v>0</v>
      </c>
      <c r="AI9">
        <f t="shared" ca="1" si="23"/>
        <v>0</v>
      </c>
      <c r="AJ9" t="b">
        <f t="shared" si="24"/>
        <v>0</v>
      </c>
      <c r="AK9" t="b">
        <f t="shared" si="25"/>
        <v>0</v>
      </c>
      <c r="AL9">
        <f t="shared" ca="1" si="26"/>
        <v>0</v>
      </c>
      <c r="AM9" s="6">
        <f t="shared" ca="1" si="27"/>
        <v>1</v>
      </c>
      <c r="AN9">
        <f>MATCH(AN$2,Spieltage!$C$78:$C$86,0)+77</f>
        <v>78</v>
      </c>
      <c r="AO9" t="e">
        <f>MATCH(AN$2,Spieltage!$E$78:$E$86,0)+77</f>
        <v>#N/A</v>
      </c>
      <c r="AP9">
        <f t="shared" si="28"/>
        <v>78</v>
      </c>
      <c r="AQ9">
        <f ca="1">INDIRECT("Spieltage!$F"&amp;'i2'!AP9)</f>
        <v>0</v>
      </c>
      <c r="AR9" s="35" t="s">
        <v>12</v>
      </c>
      <c r="AS9" s="97">
        <f ca="1">INDIRECT("Spieltage!$H"&amp;'i2'!AP9)</f>
        <v>0</v>
      </c>
      <c r="AT9" t="str">
        <f t="shared" si="29"/>
        <v>H</v>
      </c>
      <c r="AU9">
        <f t="shared" si="30"/>
        <v>1</v>
      </c>
      <c r="AV9" t="b">
        <f t="shared" ca="1" si="31"/>
        <v>0</v>
      </c>
      <c r="AW9" t="b">
        <f t="shared" ca="1" si="32"/>
        <v>1</v>
      </c>
      <c r="AX9" t="b">
        <f t="shared" ca="1" si="33"/>
        <v>0</v>
      </c>
      <c r="AY9">
        <f t="shared" si="34"/>
        <v>0</v>
      </c>
      <c r="AZ9">
        <f t="shared" si="35"/>
        <v>0</v>
      </c>
      <c r="BA9">
        <f t="shared" si="36"/>
        <v>0</v>
      </c>
      <c r="BB9">
        <f t="shared" ca="1" si="37"/>
        <v>0</v>
      </c>
      <c r="BC9">
        <f t="shared" ca="1" si="38"/>
        <v>0</v>
      </c>
      <c r="BD9">
        <f t="shared" ca="1" si="39"/>
        <v>1</v>
      </c>
      <c r="BE9" t="b">
        <f t="shared" si="40"/>
        <v>0</v>
      </c>
      <c r="BF9" s="6" t="b">
        <f t="shared" si="41"/>
        <v>0</v>
      </c>
      <c r="BG9">
        <f>MATCH(BG$2,Spieltage!$C$78:$C$86,0)+77</f>
        <v>85</v>
      </c>
      <c r="BH9" t="e">
        <f>MATCH(BG$2,Spieltage!$E$78:$E$86,0)+77</f>
        <v>#N/A</v>
      </c>
      <c r="BI9">
        <f t="shared" si="42"/>
        <v>85</v>
      </c>
      <c r="BJ9">
        <f ca="1">INDIRECT("Spieltage!$F"&amp;'i2'!BI9)</f>
        <v>0</v>
      </c>
      <c r="BK9" s="35" t="s">
        <v>12</v>
      </c>
      <c r="BL9" s="97">
        <f ca="1">INDIRECT("Spieltage!$H"&amp;'i2'!BI9)</f>
        <v>0</v>
      </c>
      <c r="BM9" t="str">
        <f t="shared" si="43"/>
        <v>H</v>
      </c>
      <c r="BN9">
        <f t="shared" si="44"/>
        <v>1</v>
      </c>
      <c r="BO9" t="b">
        <f t="shared" ca="1" si="45"/>
        <v>0</v>
      </c>
      <c r="BP9" t="b">
        <f t="shared" ca="1" si="46"/>
        <v>1</v>
      </c>
      <c r="BQ9" t="b">
        <f t="shared" ca="1" si="47"/>
        <v>0</v>
      </c>
      <c r="BR9">
        <f t="shared" si="48"/>
        <v>0</v>
      </c>
      <c r="BS9">
        <f t="shared" si="49"/>
        <v>0</v>
      </c>
      <c r="BT9">
        <f t="shared" si="50"/>
        <v>0</v>
      </c>
      <c r="BU9">
        <f t="shared" ca="1" si="51"/>
        <v>0</v>
      </c>
      <c r="BV9">
        <f t="shared" ca="1" si="52"/>
        <v>0</v>
      </c>
      <c r="BW9">
        <f t="shared" ca="1" si="53"/>
        <v>1</v>
      </c>
      <c r="BX9" t="b">
        <f t="shared" si="54"/>
        <v>0</v>
      </c>
      <c r="BY9" s="6" t="b">
        <f t="shared" si="55"/>
        <v>0</v>
      </c>
      <c r="BZ9">
        <f>MATCH(BZ$2,Spieltage!$C$78:$C$86,0)+77</f>
        <v>79</v>
      </c>
      <c r="CA9" t="e">
        <f>MATCH(BZ$2,Spieltage!$E$78:$E$86,0)+77</f>
        <v>#N/A</v>
      </c>
      <c r="CB9">
        <f t="shared" si="56"/>
        <v>79</v>
      </c>
      <c r="CC9">
        <f ca="1">INDIRECT("Spieltage!$F"&amp;'i2'!CB9)</f>
        <v>0</v>
      </c>
      <c r="CD9" s="35" t="s">
        <v>12</v>
      </c>
      <c r="CE9" s="97">
        <f ca="1">INDIRECT("Spieltage!$H"&amp;'i2'!CB9)</f>
        <v>0</v>
      </c>
      <c r="CF9" t="str">
        <f t="shared" si="57"/>
        <v>H</v>
      </c>
      <c r="CG9">
        <f t="shared" si="58"/>
        <v>1</v>
      </c>
      <c r="CH9" t="b">
        <f t="shared" ca="1" si="59"/>
        <v>0</v>
      </c>
      <c r="CI9" t="b">
        <f t="shared" ca="1" si="60"/>
        <v>1</v>
      </c>
      <c r="CJ9" t="b">
        <f t="shared" ca="1" si="61"/>
        <v>0</v>
      </c>
      <c r="CK9">
        <f t="shared" si="62"/>
        <v>0</v>
      </c>
      <c r="CL9">
        <f t="shared" si="63"/>
        <v>0</v>
      </c>
      <c r="CM9">
        <f t="shared" si="64"/>
        <v>0</v>
      </c>
      <c r="CN9">
        <f t="shared" ca="1" si="65"/>
        <v>0</v>
      </c>
      <c r="CO9">
        <f t="shared" ca="1" si="66"/>
        <v>0</v>
      </c>
      <c r="CP9">
        <f t="shared" ca="1" si="67"/>
        <v>1</v>
      </c>
      <c r="CQ9" t="b">
        <f t="shared" si="68"/>
        <v>0</v>
      </c>
      <c r="CR9" s="6" t="b">
        <f t="shared" si="69"/>
        <v>0</v>
      </c>
      <c r="CS9">
        <f>MATCH(CS$2,Spieltage!$C$78:$C$86,0)+77</f>
        <v>81</v>
      </c>
      <c r="CT9" t="e">
        <f>MATCH(CS$2,Spieltage!$E$78:$E$86,0)+77</f>
        <v>#N/A</v>
      </c>
      <c r="CU9">
        <f t="shared" si="70"/>
        <v>81</v>
      </c>
      <c r="CV9">
        <f ca="1">INDIRECT("Spieltage!$F"&amp;'i2'!CU9)</f>
        <v>0</v>
      </c>
      <c r="CW9" s="35" t="s">
        <v>12</v>
      </c>
      <c r="CX9" s="97">
        <f ca="1">INDIRECT("Spieltage!$H"&amp;'i2'!CU9)</f>
        <v>0</v>
      </c>
      <c r="CY9" t="str">
        <f t="shared" si="71"/>
        <v>H</v>
      </c>
      <c r="CZ9">
        <f t="shared" si="72"/>
        <v>1</v>
      </c>
      <c r="DA9" t="b">
        <f t="shared" ca="1" si="73"/>
        <v>0</v>
      </c>
      <c r="DB9" t="b">
        <f t="shared" ca="1" si="74"/>
        <v>1</v>
      </c>
      <c r="DC9" t="b">
        <f t="shared" ca="1" si="75"/>
        <v>0</v>
      </c>
      <c r="DD9">
        <f t="shared" si="76"/>
        <v>0</v>
      </c>
      <c r="DE9">
        <f t="shared" si="77"/>
        <v>0</v>
      </c>
      <c r="DF9">
        <f t="shared" si="78"/>
        <v>0</v>
      </c>
      <c r="DG9">
        <f t="shared" ca="1" si="79"/>
        <v>0</v>
      </c>
      <c r="DH9">
        <f t="shared" ca="1" si="80"/>
        <v>0</v>
      </c>
      <c r="DI9">
        <f t="shared" ca="1" si="81"/>
        <v>1</v>
      </c>
      <c r="DJ9" t="b">
        <f t="shared" si="82"/>
        <v>0</v>
      </c>
      <c r="DK9" s="6" t="b">
        <f t="shared" si="83"/>
        <v>0</v>
      </c>
      <c r="DL9" t="e">
        <f>MATCH(DL$2,Spieltage!$C$78:$C$86,0)+77</f>
        <v>#N/A</v>
      </c>
      <c r="DM9">
        <f>MATCH(DL$2,Spieltage!$E$78:$E$86,0)+77</f>
        <v>83</v>
      </c>
      <c r="DN9">
        <f t="shared" si="84"/>
        <v>83</v>
      </c>
      <c r="DO9">
        <f ca="1">INDIRECT("Spieltage!$F"&amp;'i2'!DN9)</f>
        <v>0</v>
      </c>
      <c r="DP9" s="35" t="s">
        <v>12</v>
      </c>
      <c r="DQ9" s="97">
        <f ca="1">INDIRECT("Spieltage!$H"&amp;'i2'!DN9)</f>
        <v>0</v>
      </c>
      <c r="DR9" t="str">
        <f t="shared" si="85"/>
        <v>A</v>
      </c>
      <c r="DS9">
        <f t="shared" si="86"/>
        <v>2</v>
      </c>
      <c r="DT9">
        <f t="shared" si="87"/>
        <v>0</v>
      </c>
      <c r="DU9">
        <f t="shared" si="88"/>
        <v>0</v>
      </c>
      <c r="DV9">
        <f t="shared" si="89"/>
        <v>0</v>
      </c>
      <c r="DW9" t="b">
        <f t="shared" ca="1" si="90"/>
        <v>0</v>
      </c>
      <c r="DX9" t="b">
        <f t="shared" ca="1" si="91"/>
        <v>1</v>
      </c>
      <c r="DY9" t="b">
        <f t="shared" ca="1" si="92"/>
        <v>0</v>
      </c>
      <c r="DZ9">
        <f t="shared" ca="1" si="93"/>
        <v>0</v>
      </c>
      <c r="EA9" t="b">
        <f t="shared" si="94"/>
        <v>0</v>
      </c>
      <c r="EB9" t="b">
        <f t="shared" si="95"/>
        <v>0</v>
      </c>
      <c r="EC9">
        <f t="shared" ca="1" si="96"/>
        <v>0</v>
      </c>
      <c r="ED9" s="6">
        <f t="shared" ca="1" si="97"/>
        <v>1</v>
      </c>
      <c r="EE9">
        <f>MATCH(EE$2,Spieltage!$C$78:$C$86,0)+77</f>
        <v>84</v>
      </c>
      <c r="EF9" t="e">
        <f>MATCH(EE$2,Spieltage!$E$78:$E$86,0)+77</f>
        <v>#N/A</v>
      </c>
      <c r="EG9">
        <f t="shared" si="98"/>
        <v>84</v>
      </c>
      <c r="EH9">
        <f ca="1">INDIRECT("Spieltage!$F"&amp;'i2'!EG9)</f>
        <v>0</v>
      </c>
      <c r="EI9" s="35" t="s">
        <v>12</v>
      </c>
      <c r="EJ9" s="97">
        <f ca="1">INDIRECT("Spieltage!$H"&amp;'i2'!EG9)</f>
        <v>0</v>
      </c>
      <c r="EK9" t="str">
        <f t="shared" si="99"/>
        <v>H</v>
      </c>
      <c r="EL9">
        <f t="shared" si="100"/>
        <v>1</v>
      </c>
      <c r="EM9" t="b">
        <f t="shared" ca="1" si="101"/>
        <v>0</v>
      </c>
      <c r="EN9" t="b">
        <f t="shared" ca="1" si="102"/>
        <v>1</v>
      </c>
      <c r="EO9" t="b">
        <f t="shared" ca="1" si="103"/>
        <v>0</v>
      </c>
      <c r="EP9">
        <f t="shared" si="104"/>
        <v>0</v>
      </c>
      <c r="EQ9">
        <f t="shared" si="105"/>
        <v>0</v>
      </c>
      <c r="ER9">
        <f t="shared" si="106"/>
        <v>0</v>
      </c>
      <c r="ES9">
        <f t="shared" ca="1" si="107"/>
        <v>0</v>
      </c>
      <c r="ET9">
        <f t="shared" ca="1" si="108"/>
        <v>0</v>
      </c>
      <c r="EU9">
        <f t="shared" ca="1" si="109"/>
        <v>1</v>
      </c>
      <c r="EV9" t="b">
        <f t="shared" si="110"/>
        <v>0</v>
      </c>
      <c r="EW9" s="6" t="b">
        <f t="shared" si="111"/>
        <v>0</v>
      </c>
      <c r="EX9" t="e">
        <f>MATCH(EX$2,Spieltage!$C$78:$C$86,0)+77</f>
        <v>#N/A</v>
      </c>
      <c r="EY9">
        <f>MATCH(EX$2,Spieltage!$E$78:$E$86,0)+77</f>
        <v>86</v>
      </c>
      <c r="EZ9">
        <f t="shared" si="112"/>
        <v>86</v>
      </c>
      <c r="FA9">
        <f ca="1">INDIRECT("Spieltage!$F"&amp;'i2'!EZ9)</f>
        <v>0</v>
      </c>
      <c r="FB9" s="35" t="s">
        <v>12</v>
      </c>
      <c r="FC9" s="97">
        <f ca="1">INDIRECT("Spieltage!$H"&amp;'i2'!EZ9)</f>
        <v>0</v>
      </c>
      <c r="FD9" t="str">
        <f t="shared" si="113"/>
        <v>A</v>
      </c>
      <c r="FE9">
        <f t="shared" si="114"/>
        <v>2</v>
      </c>
      <c r="FF9">
        <f t="shared" si="115"/>
        <v>0</v>
      </c>
      <c r="FG9">
        <f t="shared" si="116"/>
        <v>0</v>
      </c>
      <c r="FH9">
        <f t="shared" si="117"/>
        <v>0</v>
      </c>
      <c r="FI9" t="b">
        <f t="shared" ca="1" si="118"/>
        <v>0</v>
      </c>
      <c r="FJ9" t="b">
        <f t="shared" ca="1" si="119"/>
        <v>1</v>
      </c>
      <c r="FK9" t="b">
        <f t="shared" ca="1" si="120"/>
        <v>0</v>
      </c>
      <c r="FL9">
        <f t="shared" ca="1" si="121"/>
        <v>0</v>
      </c>
      <c r="FM9" t="b">
        <f t="shared" si="122"/>
        <v>0</v>
      </c>
      <c r="FN9" t="b">
        <f t="shared" si="123"/>
        <v>0</v>
      </c>
      <c r="FO9">
        <f t="shared" ca="1" si="124"/>
        <v>0</v>
      </c>
      <c r="FP9" s="6">
        <f t="shared" ca="1" si="125"/>
        <v>1</v>
      </c>
      <c r="FQ9" t="e">
        <f>MATCH(FQ$2,Spieltage!$C$78:$C$86,0)+77</f>
        <v>#N/A</v>
      </c>
      <c r="FR9">
        <f>MATCH(FQ$2,Spieltage!$E$78:$E$86,0)+77</f>
        <v>85</v>
      </c>
      <c r="FS9">
        <f t="shared" si="126"/>
        <v>85</v>
      </c>
      <c r="FT9">
        <f ca="1">INDIRECT("Spieltage!$F"&amp;'i2'!FS9)</f>
        <v>0</v>
      </c>
      <c r="FU9" s="35" t="s">
        <v>12</v>
      </c>
      <c r="FV9" s="97">
        <f ca="1">INDIRECT("Spieltage!$H"&amp;'i2'!FS9)</f>
        <v>0</v>
      </c>
      <c r="FW9" t="str">
        <f t="shared" si="127"/>
        <v>A</v>
      </c>
      <c r="FX9">
        <f t="shared" si="128"/>
        <v>2</v>
      </c>
      <c r="FY9">
        <f t="shared" si="129"/>
        <v>0</v>
      </c>
      <c r="FZ9">
        <f t="shared" si="130"/>
        <v>0</v>
      </c>
      <c r="GA9">
        <f t="shared" si="131"/>
        <v>0</v>
      </c>
      <c r="GB9" t="b">
        <f t="shared" ca="1" si="132"/>
        <v>0</v>
      </c>
      <c r="GC9" t="b">
        <f t="shared" ca="1" si="133"/>
        <v>1</v>
      </c>
      <c r="GD9" t="b">
        <f t="shared" ca="1" si="134"/>
        <v>0</v>
      </c>
      <c r="GE9">
        <f t="shared" ca="1" si="135"/>
        <v>0</v>
      </c>
      <c r="GF9" t="b">
        <f t="shared" si="136"/>
        <v>0</v>
      </c>
      <c r="GG9" t="b">
        <f t="shared" si="137"/>
        <v>0</v>
      </c>
      <c r="GH9">
        <f t="shared" ca="1" si="138"/>
        <v>0</v>
      </c>
      <c r="GI9" s="6">
        <f t="shared" ca="1" si="139"/>
        <v>1</v>
      </c>
      <c r="GJ9">
        <f>MATCH(GJ$2,Spieltage!$C$78:$C$86,0)+77</f>
        <v>83</v>
      </c>
      <c r="GK9" t="e">
        <f>MATCH(GJ$2,Spieltage!$E$78:$E$86,0)+77</f>
        <v>#N/A</v>
      </c>
      <c r="GL9">
        <f t="shared" si="140"/>
        <v>83</v>
      </c>
      <c r="GM9">
        <f ca="1">INDIRECT("Spieltage!$F"&amp;'i2'!GL9)</f>
        <v>0</v>
      </c>
      <c r="GN9" s="35" t="s">
        <v>12</v>
      </c>
      <c r="GO9" s="97">
        <f ca="1">INDIRECT("Spieltage!$H"&amp;'i2'!GL9)</f>
        <v>0</v>
      </c>
      <c r="GP9" t="str">
        <f t="shared" si="141"/>
        <v>H</v>
      </c>
      <c r="GQ9">
        <f t="shared" si="142"/>
        <v>1</v>
      </c>
      <c r="GR9" t="b">
        <f t="shared" ca="1" si="143"/>
        <v>0</v>
      </c>
      <c r="GS9" t="b">
        <f t="shared" ca="1" si="144"/>
        <v>1</v>
      </c>
      <c r="GT9" t="b">
        <f t="shared" ca="1" si="145"/>
        <v>0</v>
      </c>
      <c r="GU9">
        <f t="shared" si="146"/>
        <v>0</v>
      </c>
      <c r="GV9">
        <f t="shared" si="147"/>
        <v>0</v>
      </c>
      <c r="GW9">
        <f t="shared" si="148"/>
        <v>0</v>
      </c>
      <c r="GX9">
        <f t="shared" ca="1" si="149"/>
        <v>0</v>
      </c>
      <c r="GY9">
        <f t="shared" ca="1" si="150"/>
        <v>0</v>
      </c>
      <c r="GZ9">
        <f t="shared" ca="1" si="151"/>
        <v>1</v>
      </c>
      <c r="HA9" t="b">
        <f t="shared" si="152"/>
        <v>0</v>
      </c>
      <c r="HB9" s="6" t="b">
        <f t="shared" si="153"/>
        <v>0</v>
      </c>
      <c r="HC9">
        <f>MATCH(HC$2,Spieltage!$C$78:$C$86,0)+77</f>
        <v>86</v>
      </c>
      <c r="HD9" t="e">
        <f>MATCH(HC$2,Spieltage!$E$78:$E$86,0)+77</f>
        <v>#N/A</v>
      </c>
      <c r="HE9">
        <f t="shared" si="154"/>
        <v>86</v>
      </c>
      <c r="HF9">
        <f ca="1">INDIRECT("Spieltage!$F"&amp;'i2'!HE9)</f>
        <v>0</v>
      </c>
      <c r="HG9" s="35" t="s">
        <v>12</v>
      </c>
      <c r="HH9" s="97">
        <f ca="1">INDIRECT("Spieltage!$H"&amp;'i2'!HE9)</f>
        <v>0</v>
      </c>
      <c r="HI9" t="str">
        <f t="shared" si="155"/>
        <v>H</v>
      </c>
      <c r="HJ9">
        <f t="shared" si="156"/>
        <v>1</v>
      </c>
      <c r="HK9" t="b">
        <f t="shared" ca="1" si="157"/>
        <v>0</v>
      </c>
      <c r="HL9" t="b">
        <f t="shared" ca="1" si="158"/>
        <v>1</v>
      </c>
      <c r="HM9" t="b">
        <f t="shared" ca="1" si="159"/>
        <v>0</v>
      </c>
      <c r="HN9">
        <f t="shared" si="160"/>
        <v>0</v>
      </c>
      <c r="HO9">
        <f t="shared" si="161"/>
        <v>0</v>
      </c>
      <c r="HP9">
        <f t="shared" si="162"/>
        <v>0</v>
      </c>
      <c r="HQ9">
        <f t="shared" ca="1" si="163"/>
        <v>0</v>
      </c>
      <c r="HR9">
        <f t="shared" ca="1" si="164"/>
        <v>0</v>
      </c>
      <c r="HS9">
        <f t="shared" ca="1" si="165"/>
        <v>1</v>
      </c>
      <c r="HT9" t="b">
        <f t="shared" si="166"/>
        <v>0</v>
      </c>
      <c r="HU9" s="6" t="b">
        <f t="shared" si="167"/>
        <v>0</v>
      </c>
      <c r="HV9" t="e">
        <f>MATCH(HV$2,Spieltage!$C$78:$C$86,0)+77</f>
        <v>#N/A</v>
      </c>
      <c r="HW9">
        <f>MATCH(HV$2,Spieltage!$E$78:$E$86,0)+77</f>
        <v>78</v>
      </c>
      <c r="HX9">
        <f t="shared" si="168"/>
        <v>78</v>
      </c>
      <c r="HY9">
        <f ca="1">INDIRECT("Spieltage!$F"&amp;'i2'!HX9)</f>
        <v>0</v>
      </c>
      <c r="HZ9" s="35" t="s">
        <v>12</v>
      </c>
      <c r="IA9" s="97">
        <f ca="1">INDIRECT("Spieltage!$H"&amp;'i2'!HX9)</f>
        <v>0</v>
      </c>
      <c r="IB9" t="str">
        <f t="shared" si="169"/>
        <v>A</v>
      </c>
      <c r="IC9">
        <f t="shared" si="170"/>
        <v>2</v>
      </c>
      <c r="ID9">
        <f t="shared" si="171"/>
        <v>0</v>
      </c>
      <c r="IE9">
        <f t="shared" si="172"/>
        <v>0</v>
      </c>
      <c r="IF9">
        <f t="shared" si="173"/>
        <v>0</v>
      </c>
      <c r="IG9" t="b">
        <f t="shared" ca="1" si="174"/>
        <v>0</v>
      </c>
      <c r="IH9" t="b">
        <f t="shared" ca="1" si="175"/>
        <v>1</v>
      </c>
      <c r="II9" t="b">
        <f t="shared" ca="1" si="176"/>
        <v>0</v>
      </c>
      <c r="IJ9">
        <f t="shared" ca="1" si="177"/>
        <v>0</v>
      </c>
      <c r="IK9" t="b">
        <f t="shared" si="178"/>
        <v>0</v>
      </c>
      <c r="IL9" t="b">
        <f t="shared" si="179"/>
        <v>0</v>
      </c>
      <c r="IM9">
        <f t="shared" ca="1" si="180"/>
        <v>0</v>
      </c>
      <c r="IN9" s="6">
        <f t="shared" ca="1" si="181"/>
        <v>1</v>
      </c>
      <c r="IO9">
        <f>MATCH(IO$2,Spieltage!$C$78:$C$86,0)+77</f>
        <v>82</v>
      </c>
      <c r="IP9" t="e">
        <f>MATCH(IO$2,Spieltage!$E$78:$E$86,0)+77</f>
        <v>#N/A</v>
      </c>
      <c r="IQ9">
        <f t="shared" si="182"/>
        <v>82</v>
      </c>
      <c r="IR9">
        <f ca="1">INDIRECT("Spieltage!$F"&amp;'i2'!IQ9)</f>
        <v>0</v>
      </c>
      <c r="IS9" s="35" t="s">
        <v>12</v>
      </c>
      <c r="IT9" s="97">
        <f ca="1">INDIRECT("Spieltage!$H"&amp;'i2'!IQ9)</f>
        <v>0</v>
      </c>
      <c r="IU9" t="str">
        <f t="shared" si="183"/>
        <v>H</v>
      </c>
      <c r="IV9">
        <f t="shared" si="184"/>
        <v>1</v>
      </c>
      <c r="IW9" t="b">
        <f t="shared" ca="1" si="185"/>
        <v>0</v>
      </c>
      <c r="IX9" t="b">
        <f t="shared" ca="1" si="186"/>
        <v>1</v>
      </c>
      <c r="IY9" t="b">
        <f t="shared" ca="1" si="187"/>
        <v>0</v>
      </c>
      <c r="IZ9">
        <f t="shared" si="188"/>
        <v>0</v>
      </c>
      <c r="JA9">
        <f t="shared" si="189"/>
        <v>0</v>
      </c>
      <c r="JB9">
        <f t="shared" si="190"/>
        <v>0</v>
      </c>
      <c r="JC9">
        <f t="shared" ca="1" si="191"/>
        <v>0</v>
      </c>
      <c r="JD9">
        <f t="shared" ca="1" si="192"/>
        <v>0</v>
      </c>
      <c r="JE9">
        <f t="shared" ca="1" si="193"/>
        <v>1</v>
      </c>
      <c r="JF9" t="b">
        <f t="shared" si="194"/>
        <v>0</v>
      </c>
      <c r="JG9" s="6" t="b">
        <f t="shared" si="195"/>
        <v>0</v>
      </c>
      <c r="JH9" t="e">
        <f>MATCH(JH$2,Spieltage!$C$78:$C$86,0)+77</f>
        <v>#N/A</v>
      </c>
      <c r="JI9">
        <f>MATCH(JH$2,Spieltage!$E$78:$E$86,0)+77</f>
        <v>81</v>
      </c>
      <c r="JJ9">
        <f t="shared" si="196"/>
        <v>81</v>
      </c>
      <c r="JK9">
        <f ca="1">INDIRECT("Spieltage!$F"&amp;'i2'!JJ9)</f>
        <v>0</v>
      </c>
      <c r="JL9" s="35" t="s">
        <v>12</v>
      </c>
      <c r="JM9" s="97">
        <f ca="1">INDIRECT("Spieltage!$H"&amp;'i2'!JJ9)</f>
        <v>0</v>
      </c>
      <c r="JN9" t="str">
        <f t="shared" si="197"/>
        <v>A</v>
      </c>
      <c r="JO9">
        <f t="shared" si="198"/>
        <v>2</v>
      </c>
      <c r="JP9">
        <f t="shared" si="199"/>
        <v>0</v>
      </c>
      <c r="JQ9">
        <f t="shared" si="200"/>
        <v>0</v>
      </c>
      <c r="JR9">
        <f t="shared" si="201"/>
        <v>0</v>
      </c>
      <c r="JS9" t="b">
        <f t="shared" ca="1" si="202"/>
        <v>0</v>
      </c>
      <c r="JT9" t="b">
        <f t="shared" ca="1" si="203"/>
        <v>1</v>
      </c>
      <c r="JU9" t="b">
        <f t="shared" ca="1" si="204"/>
        <v>0</v>
      </c>
      <c r="JV9">
        <f t="shared" ca="1" si="205"/>
        <v>0</v>
      </c>
      <c r="JW9" t="b">
        <f t="shared" si="206"/>
        <v>0</v>
      </c>
      <c r="JX9" t="b">
        <f t="shared" si="207"/>
        <v>0</v>
      </c>
      <c r="JY9">
        <f t="shared" ca="1" si="208"/>
        <v>0</v>
      </c>
      <c r="JZ9" s="6">
        <f t="shared" ca="1" si="209"/>
        <v>1</v>
      </c>
      <c r="KA9">
        <f>MATCH(KA$2,Spieltage!$C$78:$C$86,0)+77</f>
        <v>80</v>
      </c>
      <c r="KB9" t="e">
        <f>MATCH(KA$2,Spieltage!$E$78:$E$86,0)+77</f>
        <v>#N/A</v>
      </c>
      <c r="KC9">
        <f t="shared" si="210"/>
        <v>80</v>
      </c>
      <c r="KD9">
        <f ca="1">INDIRECT("Spieltage!$F"&amp;'i2'!KC9)</f>
        <v>0</v>
      </c>
      <c r="KE9" s="35" t="s">
        <v>12</v>
      </c>
      <c r="KF9" s="97">
        <f ca="1">INDIRECT("Spieltage!$H"&amp;'i2'!KC9)</f>
        <v>0</v>
      </c>
      <c r="KG9" t="str">
        <f t="shared" si="211"/>
        <v>H</v>
      </c>
      <c r="KH9">
        <f t="shared" si="212"/>
        <v>1</v>
      </c>
      <c r="KI9" t="b">
        <f t="shared" ca="1" si="213"/>
        <v>0</v>
      </c>
      <c r="KJ9" t="b">
        <f t="shared" ca="1" si="214"/>
        <v>1</v>
      </c>
      <c r="KK9" t="b">
        <f t="shared" ca="1" si="215"/>
        <v>0</v>
      </c>
      <c r="KL9">
        <f t="shared" si="216"/>
        <v>0</v>
      </c>
      <c r="KM9">
        <f t="shared" si="217"/>
        <v>0</v>
      </c>
      <c r="KN9">
        <f t="shared" si="218"/>
        <v>0</v>
      </c>
      <c r="KO9">
        <f t="shared" ca="1" si="219"/>
        <v>0</v>
      </c>
      <c r="KP9">
        <f t="shared" ca="1" si="220"/>
        <v>0</v>
      </c>
      <c r="KQ9">
        <f t="shared" ca="1" si="221"/>
        <v>1</v>
      </c>
      <c r="KR9" t="b">
        <f t="shared" si="222"/>
        <v>0</v>
      </c>
      <c r="KS9" s="6" t="b">
        <f t="shared" si="223"/>
        <v>0</v>
      </c>
      <c r="KT9" t="e">
        <f>MATCH(KT$2,Spieltage!$C$78:$C$86,0)+77</f>
        <v>#N/A</v>
      </c>
      <c r="KU9">
        <f>MATCH(KT$2,Spieltage!$E$78:$E$86,0)+77</f>
        <v>82</v>
      </c>
      <c r="KV9">
        <f t="shared" si="224"/>
        <v>82</v>
      </c>
      <c r="KW9">
        <f ca="1">INDIRECT("Spieltage!$F"&amp;'i2'!KV9)</f>
        <v>0</v>
      </c>
      <c r="KX9" s="35" t="s">
        <v>12</v>
      </c>
      <c r="KY9" s="97">
        <f ca="1">INDIRECT("Spieltage!$H"&amp;'i2'!KV9)</f>
        <v>0</v>
      </c>
      <c r="KZ9" t="str">
        <f t="shared" si="225"/>
        <v>A</v>
      </c>
      <c r="LA9">
        <f t="shared" si="226"/>
        <v>2</v>
      </c>
      <c r="LB9">
        <f t="shared" si="227"/>
        <v>0</v>
      </c>
      <c r="LC9">
        <f t="shared" si="228"/>
        <v>0</v>
      </c>
      <c r="LD9">
        <f t="shared" si="229"/>
        <v>0</v>
      </c>
      <c r="LE9" t="b">
        <f t="shared" ca="1" si="230"/>
        <v>0</v>
      </c>
      <c r="LF9" t="b">
        <f t="shared" ca="1" si="231"/>
        <v>1</v>
      </c>
      <c r="LG9" t="b">
        <f t="shared" ca="1" si="232"/>
        <v>0</v>
      </c>
      <c r="LH9">
        <f t="shared" ca="1" si="233"/>
        <v>0</v>
      </c>
      <c r="LI9" t="b">
        <f t="shared" si="234"/>
        <v>0</v>
      </c>
      <c r="LJ9" t="b">
        <f t="shared" si="235"/>
        <v>0</v>
      </c>
      <c r="LK9">
        <f t="shared" ca="1" si="236"/>
        <v>0</v>
      </c>
      <c r="LL9" s="6">
        <f t="shared" ca="1" si="237"/>
        <v>1</v>
      </c>
      <c r="LM9" t="e">
        <f>MATCH(LM$2,Spieltage!$C$78:$C$86,0)+77</f>
        <v>#N/A</v>
      </c>
      <c r="LN9">
        <f>MATCH(LM$2,Spieltage!$E$78:$E$86,0)+77</f>
        <v>84</v>
      </c>
      <c r="LO9">
        <f t="shared" si="238"/>
        <v>84</v>
      </c>
      <c r="LP9">
        <f ca="1">INDIRECT("Spieltage!$F"&amp;'i2'!LO9)</f>
        <v>0</v>
      </c>
      <c r="LQ9" s="35" t="s">
        <v>12</v>
      </c>
      <c r="LR9" s="97">
        <f ca="1">INDIRECT("Spieltage!$H"&amp;'i2'!LO9)</f>
        <v>0</v>
      </c>
      <c r="LS9" t="str">
        <f t="shared" si="239"/>
        <v>A</v>
      </c>
      <c r="LT9">
        <f t="shared" si="240"/>
        <v>2</v>
      </c>
      <c r="LU9">
        <f t="shared" si="241"/>
        <v>0</v>
      </c>
      <c r="LV9">
        <f t="shared" si="242"/>
        <v>0</v>
      </c>
      <c r="LW9">
        <f t="shared" si="243"/>
        <v>0</v>
      </c>
      <c r="LX9" t="b">
        <f t="shared" ca="1" si="244"/>
        <v>0</v>
      </c>
      <c r="LY9" t="b">
        <f t="shared" ca="1" si="245"/>
        <v>1</v>
      </c>
      <c r="LZ9" t="b">
        <f t="shared" ca="1" si="246"/>
        <v>0</v>
      </c>
      <c r="MA9">
        <f t="shared" ca="1" si="247"/>
        <v>0</v>
      </c>
      <c r="MB9" t="b">
        <f t="shared" si="248"/>
        <v>0</v>
      </c>
      <c r="MC9" t="b">
        <f t="shared" si="249"/>
        <v>0</v>
      </c>
      <c r="MD9">
        <f t="shared" ca="1" si="250"/>
        <v>0</v>
      </c>
      <c r="ME9" s="6">
        <f t="shared" ca="1" si="251"/>
        <v>1</v>
      </c>
    </row>
    <row r="10" spans="1:343" x14ac:dyDescent="0.2">
      <c r="A10" s="104" t="s">
        <v>159</v>
      </c>
      <c r="B10">
        <f>MATCH(B$2,Spieltage!$C$93:$C$101,0)+92</f>
        <v>93</v>
      </c>
      <c r="C10" t="e">
        <f>MATCH(B$2,Spieltage!$E$93:$E$101,0)+92</f>
        <v>#N/A</v>
      </c>
      <c r="D10">
        <f t="shared" si="0"/>
        <v>93</v>
      </c>
      <c r="E10">
        <f ca="1">INDIRECT("Spieltage!$F"&amp;'i2'!D10)</f>
        <v>0</v>
      </c>
      <c r="F10" s="35" t="s">
        <v>12</v>
      </c>
      <c r="G10" s="97">
        <f ca="1">INDIRECT("Spieltage!$H"&amp;'i2'!D10)</f>
        <v>0</v>
      </c>
      <c r="H10" t="str">
        <f t="shared" si="1"/>
        <v>H</v>
      </c>
      <c r="I10">
        <f t="shared" si="2"/>
        <v>1</v>
      </c>
      <c r="J10" t="b">
        <f t="shared" ca="1" si="3"/>
        <v>0</v>
      </c>
      <c r="K10" t="b">
        <f t="shared" ca="1" si="4"/>
        <v>1</v>
      </c>
      <c r="L10" t="b">
        <f t="shared" ca="1" si="5"/>
        <v>0</v>
      </c>
      <c r="M10">
        <f t="shared" si="6"/>
        <v>0</v>
      </c>
      <c r="N10">
        <f t="shared" si="7"/>
        <v>0</v>
      </c>
      <c r="O10">
        <f t="shared" si="8"/>
        <v>0</v>
      </c>
      <c r="P10">
        <f t="shared" ca="1" si="9"/>
        <v>0</v>
      </c>
      <c r="Q10">
        <f t="shared" ca="1" si="10"/>
        <v>0</v>
      </c>
      <c r="R10">
        <f t="shared" ca="1" si="11"/>
        <v>1</v>
      </c>
      <c r="S10" t="b">
        <f t="shared" si="12"/>
        <v>0</v>
      </c>
      <c r="T10" s="6" t="b">
        <f t="shared" si="13"/>
        <v>0</v>
      </c>
      <c r="U10">
        <f>MATCH(U$2,Spieltage!$C$93:$C$101,0)+92</f>
        <v>96</v>
      </c>
      <c r="V10" t="e">
        <f>MATCH(U$2,Spieltage!$E$93:$E$101,0)+92</f>
        <v>#N/A</v>
      </c>
      <c r="W10">
        <f t="shared" si="14"/>
        <v>96</v>
      </c>
      <c r="X10">
        <f ca="1">INDIRECT("Spieltage!$F"&amp;'i2'!W10)</f>
        <v>0</v>
      </c>
      <c r="Y10" s="35" t="s">
        <v>12</v>
      </c>
      <c r="Z10" s="97">
        <f ca="1">INDIRECT("Spieltage!$H"&amp;'i2'!W10)</f>
        <v>0</v>
      </c>
      <c r="AA10" t="str">
        <f t="shared" si="15"/>
        <v>H</v>
      </c>
      <c r="AB10">
        <f t="shared" si="16"/>
        <v>1</v>
      </c>
      <c r="AC10" t="b">
        <f t="shared" ca="1" si="17"/>
        <v>0</v>
      </c>
      <c r="AD10" t="b">
        <f t="shared" ca="1" si="18"/>
        <v>1</v>
      </c>
      <c r="AE10" t="b">
        <f t="shared" ca="1" si="19"/>
        <v>0</v>
      </c>
      <c r="AF10">
        <f t="shared" si="20"/>
        <v>0</v>
      </c>
      <c r="AG10">
        <f t="shared" si="21"/>
        <v>0</v>
      </c>
      <c r="AH10">
        <f t="shared" si="22"/>
        <v>0</v>
      </c>
      <c r="AI10">
        <f t="shared" ca="1" si="23"/>
        <v>0</v>
      </c>
      <c r="AJ10">
        <f t="shared" ca="1" si="24"/>
        <v>0</v>
      </c>
      <c r="AK10">
        <f t="shared" ca="1" si="25"/>
        <v>1</v>
      </c>
      <c r="AL10" t="b">
        <f t="shared" si="26"/>
        <v>0</v>
      </c>
      <c r="AM10" s="6" t="b">
        <f t="shared" si="27"/>
        <v>0</v>
      </c>
      <c r="AN10" t="e">
        <f>MATCH(AN$2,Spieltage!$C$93:$C$101,0)+92</f>
        <v>#N/A</v>
      </c>
      <c r="AO10">
        <f>MATCH(AN$2,Spieltage!$E$93:$E$101,0)+92</f>
        <v>95</v>
      </c>
      <c r="AP10">
        <f t="shared" si="28"/>
        <v>95</v>
      </c>
      <c r="AQ10">
        <f ca="1">INDIRECT("Spieltage!$F"&amp;'i2'!AP10)</f>
        <v>0</v>
      </c>
      <c r="AR10" s="35" t="s">
        <v>12</v>
      </c>
      <c r="AS10" s="97">
        <f ca="1">INDIRECT("Spieltage!$H"&amp;'i2'!AP10)</f>
        <v>0</v>
      </c>
      <c r="AT10" t="str">
        <f t="shared" si="29"/>
        <v>A</v>
      </c>
      <c r="AU10">
        <f t="shared" si="30"/>
        <v>2</v>
      </c>
      <c r="AV10">
        <f t="shared" si="31"/>
        <v>0</v>
      </c>
      <c r="AW10">
        <f t="shared" si="32"/>
        <v>0</v>
      </c>
      <c r="AX10">
        <f t="shared" si="33"/>
        <v>0</v>
      </c>
      <c r="AY10" t="b">
        <f t="shared" ca="1" si="34"/>
        <v>0</v>
      </c>
      <c r="AZ10" t="b">
        <f t="shared" ca="1" si="35"/>
        <v>1</v>
      </c>
      <c r="BA10" t="b">
        <f t="shared" ca="1" si="36"/>
        <v>0</v>
      </c>
      <c r="BB10">
        <f t="shared" ca="1" si="37"/>
        <v>0</v>
      </c>
      <c r="BC10" t="b">
        <f t="shared" si="38"/>
        <v>0</v>
      </c>
      <c r="BD10" t="b">
        <f t="shared" si="39"/>
        <v>0</v>
      </c>
      <c r="BE10">
        <f t="shared" ca="1" si="40"/>
        <v>0</v>
      </c>
      <c r="BF10" s="6">
        <f t="shared" ca="1" si="41"/>
        <v>1</v>
      </c>
      <c r="BG10" t="e">
        <f>MATCH(BG$2,Spieltage!$C$93:$C$101,0)+92</f>
        <v>#N/A</v>
      </c>
      <c r="BH10">
        <f>MATCH(BG$2,Spieltage!$E$93:$E$101,0)+92</f>
        <v>99</v>
      </c>
      <c r="BI10">
        <f t="shared" si="42"/>
        <v>99</v>
      </c>
      <c r="BJ10">
        <f ca="1">INDIRECT("Spieltage!$F"&amp;'i2'!BI10)</f>
        <v>0</v>
      </c>
      <c r="BK10" s="35" t="s">
        <v>12</v>
      </c>
      <c r="BL10" s="97">
        <f ca="1">INDIRECT("Spieltage!$H"&amp;'i2'!BI10)</f>
        <v>0</v>
      </c>
      <c r="BM10" t="str">
        <f t="shared" si="43"/>
        <v>A</v>
      </c>
      <c r="BN10">
        <f t="shared" si="44"/>
        <v>2</v>
      </c>
      <c r="BO10">
        <f t="shared" si="45"/>
        <v>0</v>
      </c>
      <c r="BP10">
        <f t="shared" si="46"/>
        <v>0</v>
      </c>
      <c r="BQ10">
        <f t="shared" si="47"/>
        <v>0</v>
      </c>
      <c r="BR10" t="b">
        <f t="shared" ca="1" si="48"/>
        <v>0</v>
      </c>
      <c r="BS10" t="b">
        <f t="shared" ca="1" si="49"/>
        <v>1</v>
      </c>
      <c r="BT10" t="b">
        <f t="shared" ca="1" si="50"/>
        <v>0</v>
      </c>
      <c r="BU10">
        <f t="shared" ca="1" si="51"/>
        <v>0</v>
      </c>
      <c r="BV10" t="b">
        <f t="shared" si="52"/>
        <v>0</v>
      </c>
      <c r="BW10" t="b">
        <f t="shared" si="53"/>
        <v>0</v>
      </c>
      <c r="BX10">
        <f t="shared" ca="1" si="54"/>
        <v>0</v>
      </c>
      <c r="BY10" s="6">
        <f t="shared" ca="1" si="55"/>
        <v>1</v>
      </c>
      <c r="BZ10" t="e">
        <f>MATCH(BZ$2,Spieltage!$C$93:$C$101,0)+92</f>
        <v>#N/A</v>
      </c>
      <c r="CA10">
        <f>MATCH(BZ$2,Spieltage!$E$93:$E$101,0)+92</f>
        <v>94</v>
      </c>
      <c r="CB10">
        <f t="shared" si="56"/>
        <v>94</v>
      </c>
      <c r="CC10">
        <f ca="1">INDIRECT("Spieltage!$F"&amp;'i2'!CB10)</f>
        <v>0</v>
      </c>
      <c r="CD10" s="35" t="s">
        <v>12</v>
      </c>
      <c r="CE10" s="97">
        <f ca="1">INDIRECT("Spieltage!$H"&amp;'i2'!CB10)</f>
        <v>0</v>
      </c>
      <c r="CF10" t="str">
        <f t="shared" si="57"/>
        <v>A</v>
      </c>
      <c r="CG10">
        <f t="shared" si="58"/>
        <v>2</v>
      </c>
      <c r="CH10">
        <f t="shared" si="59"/>
        <v>0</v>
      </c>
      <c r="CI10">
        <f t="shared" si="60"/>
        <v>0</v>
      </c>
      <c r="CJ10">
        <f t="shared" si="61"/>
        <v>0</v>
      </c>
      <c r="CK10" t="b">
        <f t="shared" ca="1" si="62"/>
        <v>0</v>
      </c>
      <c r="CL10" t="b">
        <f t="shared" ca="1" si="63"/>
        <v>1</v>
      </c>
      <c r="CM10" t="b">
        <f t="shared" ca="1" si="64"/>
        <v>0</v>
      </c>
      <c r="CN10">
        <f t="shared" ca="1" si="65"/>
        <v>0</v>
      </c>
      <c r="CO10" t="b">
        <f t="shared" si="66"/>
        <v>0</v>
      </c>
      <c r="CP10" t="b">
        <f t="shared" si="67"/>
        <v>0</v>
      </c>
      <c r="CQ10">
        <f t="shared" ca="1" si="68"/>
        <v>0</v>
      </c>
      <c r="CR10" s="6">
        <f t="shared" ca="1" si="69"/>
        <v>1</v>
      </c>
      <c r="CS10" t="e">
        <f>MATCH(CS$2,Spieltage!$C$93:$C$101,0)+92</f>
        <v>#N/A</v>
      </c>
      <c r="CT10">
        <f>MATCH(CS$2,Spieltage!$E$93:$E$101,0)+92</f>
        <v>100</v>
      </c>
      <c r="CU10">
        <f t="shared" si="70"/>
        <v>100</v>
      </c>
      <c r="CV10">
        <f ca="1">INDIRECT("Spieltage!$F"&amp;'i2'!CU10)</f>
        <v>0</v>
      </c>
      <c r="CW10" s="35" t="s">
        <v>12</v>
      </c>
      <c r="CX10" s="97">
        <f ca="1">INDIRECT("Spieltage!$H"&amp;'i2'!CU10)</f>
        <v>0</v>
      </c>
      <c r="CY10" t="str">
        <f t="shared" si="71"/>
        <v>A</v>
      </c>
      <c r="CZ10">
        <f t="shared" si="72"/>
        <v>2</v>
      </c>
      <c r="DA10">
        <f t="shared" si="73"/>
        <v>0</v>
      </c>
      <c r="DB10">
        <f t="shared" si="74"/>
        <v>0</v>
      </c>
      <c r="DC10">
        <f t="shared" si="75"/>
        <v>0</v>
      </c>
      <c r="DD10" t="b">
        <f t="shared" ca="1" si="76"/>
        <v>0</v>
      </c>
      <c r="DE10" t="b">
        <f t="shared" ca="1" si="77"/>
        <v>1</v>
      </c>
      <c r="DF10" t="b">
        <f t="shared" ca="1" si="78"/>
        <v>0</v>
      </c>
      <c r="DG10">
        <f t="shared" ca="1" si="79"/>
        <v>0</v>
      </c>
      <c r="DH10" t="b">
        <f t="shared" si="80"/>
        <v>0</v>
      </c>
      <c r="DI10" t="b">
        <f t="shared" si="81"/>
        <v>0</v>
      </c>
      <c r="DJ10">
        <f t="shared" ca="1" si="82"/>
        <v>0</v>
      </c>
      <c r="DK10" s="6">
        <f t="shared" ca="1" si="83"/>
        <v>1</v>
      </c>
      <c r="DL10">
        <f>MATCH(DL$2,Spieltage!$C$93:$C$101,0)+92</f>
        <v>94</v>
      </c>
      <c r="DM10" t="e">
        <f>MATCH(DL$2,Spieltage!$E$93:$E$101,0)+92</f>
        <v>#N/A</v>
      </c>
      <c r="DN10">
        <f t="shared" si="84"/>
        <v>94</v>
      </c>
      <c r="DO10">
        <f ca="1">INDIRECT("Spieltage!$F"&amp;'i2'!DN10)</f>
        <v>0</v>
      </c>
      <c r="DP10" s="35" t="s">
        <v>12</v>
      </c>
      <c r="DQ10" s="97">
        <f ca="1">INDIRECT("Spieltage!$H"&amp;'i2'!DN10)</f>
        <v>0</v>
      </c>
      <c r="DR10" t="str">
        <f t="shared" si="85"/>
        <v>H</v>
      </c>
      <c r="DS10">
        <f t="shared" si="86"/>
        <v>1</v>
      </c>
      <c r="DT10" t="b">
        <f t="shared" ca="1" si="87"/>
        <v>0</v>
      </c>
      <c r="DU10" t="b">
        <f t="shared" ca="1" si="88"/>
        <v>1</v>
      </c>
      <c r="DV10" t="b">
        <f t="shared" ca="1" si="89"/>
        <v>0</v>
      </c>
      <c r="DW10">
        <f t="shared" si="90"/>
        <v>0</v>
      </c>
      <c r="DX10">
        <f t="shared" si="91"/>
        <v>0</v>
      </c>
      <c r="DY10">
        <f t="shared" si="92"/>
        <v>0</v>
      </c>
      <c r="DZ10">
        <f t="shared" ca="1" si="93"/>
        <v>0</v>
      </c>
      <c r="EA10">
        <f t="shared" ca="1" si="94"/>
        <v>0</v>
      </c>
      <c r="EB10">
        <f t="shared" ca="1" si="95"/>
        <v>1</v>
      </c>
      <c r="EC10" t="b">
        <f t="shared" si="96"/>
        <v>0</v>
      </c>
      <c r="ED10" s="6" t="b">
        <f t="shared" si="97"/>
        <v>0</v>
      </c>
      <c r="EE10" t="e">
        <f>MATCH(EE$2,Spieltage!$C$93:$C$101,0)+92</f>
        <v>#N/A</v>
      </c>
      <c r="EF10">
        <f>MATCH(EE$2,Spieltage!$E$93:$E$101,0)+92</f>
        <v>101</v>
      </c>
      <c r="EG10">
        <f t="shared" si="98"/>
        <v>101</v>
      </c>
      <c r="EH10">
        <f ca="1">INDIRECT("Spieltage!$F"&amp;'i2'!EG10)</f>
        <v>0</v>
      </c>
      <c r="EI10" s="35" t="s">
        <v>12</v>
      </c>
      <c r="EJ10" s="97">
        <f ca="1">INDIRECT("Spieltage!$H"&amp;'i2'!EG10)</f>
        <v>0</v>
      </c>
      <c r="EK10" t="str">
        <f t="shared" si="99"/>
        <v>A</v>
      </c>
      <c r="EL10">
        <f t="shared" si="100"/>
        <v>2</v>
      </c>
      <c r="EM10">
        <f t="shared" si="101"/>
        <v>0</v>
      </c>
      <c r="EN10">
        <f t="shared" si="102"/>
        <v>0</v>
      </c>
      <c r="EO10">
        <f t="shared" si="103"/>
        <v>0</v>
      </c>
      <c r="EP10" t="b">
        <f t="shared" ca="1" si="104"/>
        <v>0</v>
      </c>
      <c r="EQ10" t="b">
        <f t="shared" ca="1" si="105"/>
        <v>1</v>
      </c>
      <c r="ER10" t="b">
        <f t="shared" ca="1" si="106"/>
        <v>0</v>
      </c>
      <c r="ES10">
        <f t="shared" ca="1" si="107"/>
        <v>0</v>
      </c>
      <c r="ET10" t="b">
        <f t="shared" si="108"/>
        <v>0</v>
      </c>
      <c r="EU10" t="b">
        <f t="shared" si="109"/>
        <v>0</v>
      </c>
      <c r="EV10">
        <f t="shared" ca="1" si="110"/>
        <v>0</v>
      </c>
      <c r="EW10" s="6">
        <f t="shared" ca="1" si="111"/>
        <v>1</v>
      </c>
      <c r="EX10">
        <f>MATCH(EX$2,Spieltage!$C$93:$C$101,0)+92</f>
        <v>95</v>
      </c>
      <c r="EY10" t="e">
        <f>MATCH(EX$2,Spieltage!$E$93:$E$101,0)+92</f>
        <v>#N/A</v>
      </c>
      <c r="EZ10">
        <f t="shared" si="112"/>
        <v>95</v>
      </c>
      <c r="FA10">
        <f ca="1">INDIRECT("Spieltage!$F"&amp;'i2'!EZ10)</f>
        <v>0</v>
      </c>
      <c r="FB10" s="35" t="s">
        <v>12</v>
      </c>
      <c r="FC10" s="97">
        <f ca="1">INDIRECT("Spieltage!$H"&amp;'i2'!EZ10)</f>
        <v>0</v>
      </c>
      <c r="FD10" t="str">
        <f t="shared" si="113"/>
        <v>H</v>
      </c>
      <c r="FE10">
        <f t="shared" si="114"/>
        <v>1</v>
      </c>
      <c r="FF10" t="b">
        <f t="shared" ca="1" si="115"/>
        <v>0</v>
      </c>
      <c r="FG10" t="b">
        <f t="shared" ca="1" si="116"/>
        <v>1</v>
      </c>
      <c r="FH10" t="b">
        <f t="shared" ca="1" si="117"/>
        <v>0</v>
      </c>
      <c r="FI10">
        <f t="shared" si="118"/>
        <v>0</v>
      </c>
      <c r="FJ10">
        <f t="shared" si="119"/>
        <v>0</v>
      </c>
      <c r="FK10">
        <f t="shared" si="120"/>
        <v>0</v>
      </c>
      <c r="FL10">
        <f t="shared" ca="1" si="121"/>
        <v>0</v>
      </c>
      <c r="FM10">
        <f t="shared" ca="1" si="122"/>
        <v>0</v>
      </c>
      <c r="FN10">
        <f t="shared" ca="1" si="123"/>
        <v>1</v>
      </c>
      <c r="FO10" t="b">
        <f t="shared" si="124"/>
        <v>0</v>
      </c>
      <c r="FP10" s="6" t="b">
        <f t="shared" si="125"/>
        <v>0</v>
      </c>
      <c r="FQ10">
        <f>MATCH(FQ$2,Spieltage!$C$93:$C$101,0)+92</f>
        <v>101</v>
      </c>
      <c r="FR10" t="e">
        <f>MATCH(FQ$2,Spieltage!$E$93:$E$101,0)+92</f>
        <v>#N/A</v>
      </c>
      <c r="FS10">
        <f t="shared" si="126"/>
        <v>101</v>
      </c>
      <c r="FT10">
        <f ca="1">INDIRECT("Spieltage!$F"&amp;'i2'!FS10)</f>
        <v>0</v>
      </c>
      <c r="FU10" s="35" t="s">
        <v>12</v>
      </c>
      <c r="FV10" s="97">
        <f ca="1">INDIRECT("Spieltage!$H"&amp;'i2'!FS10)</f>
        <v>0</v>
      </c>
      <c r="FW10" t="str">
        <f t="shared" si="127"/>
        <v>H</v>
      </c>
      <c r="FX10">
        <f t="shared" si="128"/>
        <v>1</v>
      </c>
      <c r="FY10" t="b">
        <f t="shared" ca="1" si="129"/>
        <v>0</v>
      </c>
      <c r="FZ10" t="b">
        <f t="shared" ca="1" si="130"/>
        <v>1</v>
      </c>
      <c r="GA10" t="b">
        <f t="shared" ca="1" si="131"/>
        <v>0</v>
      </c>
      <c r="GB10">
        <f t="shared" si="132"/>
        <v>0</v>
      </c>
      <c r="GC10">
        <f t="shared" si="133"/>
        <v>0</v>
      </c>
      <c r="GD10">
        <f t="shared" si="134"/>
        <v>0</v>
      </c>
      <c r="GE10">
        <f t="shared" ca="1" si="135"/>
        <v>0</v>
      </c>
      <c r="GF10">
        <f t="shared" ca="1" si="136"/>
        <v>0</v>
      </c>
      <c r="GG10">
        <f t="shared" ca="1" si="137"/>
        <v>1</v>
      </c>
      <c r="GH10" t="b">
        <f t="shared" si="138"/>
        <v>0</v>
      </c>
      <c r="GI10" s="6" t="b">
        <f t="shared" si="139"/>
        <v>0</v>
      </c>
      <c r="GJ10" t="e">
        <f>MATCH(GJ$2,Spieltage!$C$93:$C$101,0)+92</f>
        <v>#N/A</v>
      </c>
      <c r="GK10">
        <f>MATCH(GJ$2,Spieltage!$E$93:$E$101,0)+92</f>
        <v>98</v>
      </c>
      <c r="GL10">
        <f t="shared" si="140"/>
        <v>98</v>
      </c>
      <c r="GM10">
        <f ca="1">INDIRECT("Spieltage!$F"&amp;'i2'!GL10)</f>
        <v>0</v>
      </c>
      <c r="GN10" s="35" t="s">
        <v>12</v>
      </c>
      <c r="GO10" s="97">
        <f ca="1">INDIRECT("Spieltage!$H"&amp;'i2'!GL10)</f>
        <v>0</v>
      </c>
      <c r="GP10" t="str">
        <f t="shared" si="141"/>
        <v>A</v>
      </c>
      <c r="GQ10">
        <f t="shared" si="142"/>
        <v>2</v>
      </c>
      <c r="GR10">
        <f t="shared" si="143"/>
        <v>0</v>
      </c>
      <c r="GS10">
        <f t="shared" si="144"/>
        <v>0</v>
      </c>
      <c r="GT10">
        <f t="shared" si="145"/>
        <v>0</v>
      </c>
      <c r="GU10" t="b">
        <f t="shared" ca="1" si="146"/>
        <v>0</v>
      </c>
      <c r="GV10" t="b">
        <f t="shared" ca="1" si="147"/>
        <v>1</v>
      </c>
      <c r="GW10" t="b">
        <f t="shared" ca="1" si="148"/>
        <v>0</v>
      </c>
      <c r="GX10">
        <f t="shared" ca="1" si="149"/>
        <v>0</v>
      </c>
      <c r="GY10" t="b">
        <f t="shared" si="150"/>
        <v>0</v>
      </c>
      <c r="GZ10" t="b">
        <f t="shared" si="151"/>
        <v>0</v>
      </c>
      <c r="HA10">
        <f t="shared" ca="1" si="152"/>
        <v>0</v>
      </c>
      <c r="HB10" s="6">
        <f t="shared" ca="1" si="153"/>
        <v>1</v>
      </c>
      <c r="HC10" t="e">
        <f>MATCH(HC$2,Spieltage!$C$93:$C$101,0)+92</f>
        <v>#N/A</v>
      </c>
      <c r="HD10">
        <f>MATCH(HC$2,Spieltage!$E$93:$E$101,0)+92</f>
        <v>96</v>
      </c>
      <c r="HE10">
        <f t="shared" si="154"/>
        <v>96</v>
      </c>
      <c r="HF10">
        <f ca="1">INDIRECT("Spieltage!$F"&amp;'i2'!HE10)</f>
        <v>0</v>
      </c>
      <c r="HG10" s="35" t="s">
        <v>12</v>
      </c>
      <c r="HH10" s="97">
        <f ca="1">INDIRECT("Spieltage!$H"&amp;'i2'!HE10)</f>
        <v>0</v>
      </c>
      <c r="HI10" t="str">
        <f t="shared" si="155"/>
        <v>A</v>
      </c>
      <c r="HJ10">
        <f t="shared" si="156"/>
        <v>2</v>
      </c>
      <c r="HK10">
        <f t="shared" si="157"/>
        <v>0</v>
      </c>
      <c r="HL10">
        <f t="shared" si="158"/>
        <v>0</v>
      </c>
      <c r="HM10">
        <f t="shared" si="159"/>
        <v>0</v>
      </c>
      <c r="HN10" t="b">
        <f t="shared" ca="1" si="160"/>
        <v>0</v>
      </c>
      <c r="HO10" t="b">
        <f t="shared" ca="1" si="161"/>
        <v>1</v>
      </c>
      <c r="HP10" t="b">
        <f t="shared" ca="1" si="162"/>
        <v>0</v>
      </c>
      <c r="HQ10">
        <f t="shared" ca="1" si="163"/>
        <v>0</v>
      </c>
      <c r="HR10" t="b">
        <f t="shared" si="164"/>
        <v>0</v>
      </c>
      <c r="HS10" t="b">
        <f t="shared" si="165"/>
        <v>0</v>
      </c>
      <c r="HT10">
        <f t="shared" ca="1" si="166"/>
        <v>0</v>
      </c>
      <c r="HU10" s="6">
        <f t="shared" ca="1" si="167"/>
        <v>1</v>
      </c>
      <c r="HV10">
        <f>MATCH(HV$2,Spieltage!$C$93:$C$101,0)+92</f>
        <v>98</v>
      </c>
      <c r="HW10" t="e">
        <f>MATCH(HV$2,Spieltage!$E$93:$E$101,0)+92</f>
        <v>#N/A</v>
      </c>
      <c r="HX10">
        <f t="shared" si="168"/>
        <v>98</v>
      </c>
      <c r="HY10">
        <f ca="1">INDIRECT("Spieltage!$F"&amp;'i2'!HX10)</f>
        <v>0</v>
      </c>
      <c r="HZ10" s="35" t="s">
        <v>12</v>
      </c>
      <c r="IA10" s="97">
        <f ca="1">INDIRECT("Spieltage!$H"&amp;'i2'!HX10)</f>
        <v>0</v>
      </c>
      <c r="IB10" t="str">
        <f t="shared" si="169"/>
        <v>H</v>
      </c>
      <c r="IC10">
        <f t="shared" si="170"/>
        <v>1</v>
      </c>
      <c r="ID10" t="b">
        <f t="shared" ca="1" si="171"/>
        <v>0</v>
      </c>
      <c r="IE10" t="b">
        <f t="shared" ca="1" si="172"/>
        <v>1</v>
      </c>
      <c r="IF10" t="b">
        <f t="shared" ca="1" si="173"/>
        <v>0</v>
      </c>
      <c r="IG10">
        <f t="shared" si="174"/>
        <v>0</v>
      </c>
      <c r="IH10">
        <f t="shared" si="175"/>
        <v>0</v>
      </c>
      <c r="II10">
        <f t="shared" si="176"/>
        <v>0</v>
      </c>
      <c r="IJ10">
        <f t="shared" ca="1" si="177"/>
        <v>0</v>
      </c>
      <c r="IK10">
        <f t="shared" ca="1" si="178"/>
        <v>0</v>
      </c>
      <c r="IL10">
        <f t="shared" ca="1" si="179"/>
        <v>1</v>
      </c>
      <c r="IM10" t="b">
        <f t="shared" si="180"/>
        <v>0</v>
      </c>
      <c r="IN10" s="6" t="b">
        <f t="shared" si="181"/>
        <v>0</v>
      </c>
      <c r="IO10" t="e">
        <f>MATCH(IO$2,Spieltage!$C$93:$C$101,0)+92</f>
        <v>#N/A</v>
      </c>
      <c r="IP10">
        <f>MATCH(IO$2,Spieltage!$E$93:$E$101,0)+92</f>
        <v>97</v>
      </c>
      <c r="IQ10">
        <f t="shared" si="182"/>
        <v>97</v>
      </c>
      <c r="IR10">
        <f ca="1">INDIRECT("Spieltage!$F"&amp;'i2'!IQ10)</f>
        <v>0</v>
      </c>
      <c r="IS10" s="35" t="s">
        <v>12</v>
      </c>
      <c r="IT10" s="97">
        <f ca="1">INDIRECT("Spieltage!$H"&amp;'i2'!IQ10)</f>
        <v>0</v>
      </c>
      <c r="IU10" t="str">
        <f t="shared" si="183"/>
        <v>A</v>
      </c>
      <c r="IV10">
        <f t="shared" si="184"/>
        <v>2</v>
      </c>
      <c r="IW10">
        <f t="shared" si="185"/>
        <v>0</v>
      </c>
      <c r="IX10">
        <f t="shared" si="186"/>
        <v>0</v>
      </c>
      <c r="IY10">
        <f t="shared" si="187"/>
        <v>0</v>
      </c>
      <c r="IZ10" t="b">
        <f t="shared" ca="1" si="188"/>
        <v>0</v>
      </c>
      <c r="JA10" t="b">
        <f t="shared" ca="1" si="189"/>
        <v>1</v>
      </c>
      <c r="JB10" t="b">
        <f t="shared" ca="1" si="190"/>
        <v>0</v>
      </c>
      <c r="JC10">
        <f t="shared" ca="1" si="191"/>
        <v>0</v>
      </c>
      <c r="JD10" t="b">
        <f t="shared" si="192"/>
        <v>0</v>
      </c>
      <c r="JE10" t="b">
        <f t="shared" si="193"/>
        <v>0</v>
      </c>
      <c r="JF10">
        <f t="shared" ca="1" si="194"/>
        <v>0</v>
      </c>
      <c r="JG10" s="6">
        <f t="shared" ca="1" si="195"/>
        <v>1</v>
      </c>
      <c r="JH10">
        <f>MATCH(JH$2,Spieltage!$C$93:$C$101,0)+92</f>
        <v>99</v>
      </c>
      <c r="JI10" t="e">
        <f>MATCH(JH$2,Spieltage!$E$93:$E$101,0)+92</f>
        <v>#N/A</v>
      </c>
      <c r="JJ10">
        <f t="shared" si="196"/>
        <v>99</v>
      </c>
      <c r="JK10">
        <f ca="1">INDIRECT("Spieltage!$F"&amp;'i2'!JJ10)</f>
        <v>0</v>
      </c>
      <c r="JL10" s="35" t="s">
        <v>12</v>
      </c>
      <c r="JM10" s="97">
        <f ca="1">INDIRECT("Spieltage!$H"&amp;'i2'!JJ10)</f>
        <v>0</v>
      </c>
      <c r="JN10" t="str">
        <f t="shared" si="197"/>
        <v>H</v>
      </c>
      <c r="JO10">
        <f t="shared" si="198"/>
        <v>1</v>
      </c>
      <c r="JP10" t="b">
        <f t="shared" ca="1" si="199"/>
        <v>0</v>
      </c>
      <c r="JQ10" t="b">
        <f t="shared" ca="1" si="200"/>
        <v>1</v>
      </c>
      <c r="JR10" t="b">
        <f t="shared" ca="1" si="201"/>
        <v>0</v>
      </c>
      <c r="JS10">
        <f t="shared" si="202"/>
        <v>0</v>
      </c>
      <c r="JT10">
        <f t="shared" si="203"/>
        <v>0</v>
      </c>
      <c r="JU10">
        <f t="shared" si="204"/>
        <v>0</v>
      </c>
      <c r="JV10">
        <f t="shared" ca="1" si="205"/>
        <v>0</v>
      </c>
      <c r="JW10">
        <f t="shared" ca="1" si="206"/>
        <v>0</v>
      </c>
      <c r="JX10">
        <f t="shared" ca="1" si="207"/>
        <v>1</v>
      </c>
      <c r="JY10" t="b">
        <f t="shared" si="208"/>
        <v>0</v>
      </c>
      <c r="JZ10" s="6" t="b">
        <f t="shared" si="209"/>
        <v>0</v>
      </c>
      <c r="KA10" t="e">
        <f>MATCH(KA$2,Spieltage!$C$93:$C$101,0)+92</f>
        <v>#N/A</v>
      </c>
      <c r="KB10">
        <f>MATCH(KA$2,Spieltage!$E$93:$E$101,0)+92</f>
        <v>93</v>
      </c>
      <c r="KC10">
        <f t="shared" si="210"/>
        <v>93</v>
      </c>
      <c r="KD10">
        <f ca="1">INDIRECT("Spieltage!$F"&amp;'i2'!KC10)</f>
        <v>0</v>
      </c>
      <c r="KE10" s="35" t="s">
        <v>12</v>
      </c>
      <c r="KF10" s="97">
        <f ca="1">INDIRECT("Spieltage!$H"&amp;'i2'!KC10)</f>
        <v>0</v>
      </c>
      <c r="KG10" t="str">
        <f t="shared" si="211"/>
        <v>A</v>
      </c>
      <c r="KH10">
        <f t="shared" si="212"/>
        <v>2</v>
      </c>
      <c r="KI10">
        <f t="shared" si="213"/>
        <v>0</v>
      </c>
      <c r="KJ10">
        <f t="shared" si="214"/>
        <v>0</v>
      </c>
      <c r="KK10">
        <f t="shared" si="215"/>
        <v>0</v>
      </c>
      <c r="KL10" t="b">
        <f t="shared" ca="1" si="216"/>
        <v>0</v>
      </c>
      <c r="KM10" t="b">
        <f t="shared" ca="1" si="217"/>
        <v>1</v>
      </c>
      <c r="KN10" t="b">
        <f t="shared" ca="1" si="218"/>
        <v>0</v>
      </c>
      <c r="KO10">
        <f t="shared" ca="1" si="219"/>
        <v>0</v>
      </c>
      <c r="KP10" t="b">
        <f t="shared" si="220"/>
        <v>0</v>
      </c>
      <c r="KQ10" t="b">
        <f t="shared" si="221"/>
        <v>0</v>
      </c>
      <c r="KR10">
        <f t="shared" ca="1" si="222"/>
        <v>0</v>
      </c>
      <c r="KS10" s="6">
        <f t="shared" ca="1" si="223"/>
        <v>1</v>
      </c>
      <c r="KT10">
        <f>MATCH(KT$2,Spieltage!$C$93:$C$101,0)+92</f>
        <v>100</v>
      </c>
      <c r="KU10" t="e">
        <f>MATCH(KT$2,Spieltage!$E$93:$E$101,0)+92</f>
        <v>#N/A</v>
      </c>
      <c r="KV10">
        <f t="shared" si="224"/>
        <v>100</v>
      </c>
      <c r="KW10">
        <f ca="1">INDIRECT("Spieltage!$F"&amp;'i2'!KV10)</f>
        <v>0</v>
      </c>
      <c r="KX10" s="35" t="s">
        <v>12</v>
      </c>
      <c r="KY10" s="97">
        <f ca="1">INDIRECT("Spieltage!$H"&amp;'i2'!KV10)</f>
        <v>0</v>
      </c>
      <c r="KZ10" t="str">
        <f t="shared" si="225"/>
        <v>H</v>
      </c>
      <c r="LA10">
        <f t="shared" si="226"/>
        <v>1</v>
      </c>
      <c r="LB10" t="b">
        <f t="shared" ca="1" si="227"/>
        <v>0</v>
      </c>
      <c r="LC10" t="b">
        <f t="shared" ca="1" si="228"/>
        <v>1</v>
      </c>
      <c r="LD10" t="b">
        <f t="shared" ca="1" si="229"/>
        <v>0</v>
      </c>
      <c r="LE10">
        <f t="shared" si="230"/>
        <v>0</v>
      </c>
      <c r="LF10">
        <f t="shared" si="231"/>
        <v>0</v>
      </c>
      <c r="LG10">
        <f t="shared" si="232"/>
        <v>0</v>
      </c>
      <c r="LH10">
        <f t="shared" ca="1" si="233"/>
        <v>0</v>
      </c>
      <c r="LI10">
        <f t="shared" ca="1" si="234"/>
        <v>0</v>
      </c>
      <c r="LJ10">
        <f t="shared" ca="1" si="235"/>
        <v>1</v>
      </c>
      <c r="LK10" t="b">
        <f t="shared" si="236"/>
        <v>0</v>
      </c>
      <c r="LL10" s="6" t="b">
        <f t="shared" si="237"/>
        <v>0</v>
      </c>
      <c r="LM10">
        <f>MATCH(LM$2,Spieltage!$C$93:$C$101,0)+92</f>
        <v>97</v>
      </c>
      <c r="LN10" t="e">
        <f>MATCH(LM$2,Spieltage!$E$93:$E$101,0)+92</f>
        <v>#N/A</v>
      </c>
      <c r="LO10">
        <f t="shared" si="238"/>
        <v>97</v>
      </c>
      <c r="LP10">
        <f ca="1">INDIRECT("Spieltage!$F"&amp;'i2'!LO10)</f>
        <v>0</v>
      </c>
      <c r="LQ10" s="35" t="s">
        <v>12</v>
      </c>
      <c r="LR10" s="97">
        <f ca="1">INDIRECT("Spieltage!$H"&amp;'i2'!LO10)</f>
        <v>0</v>
      </c>
      <c r="LS10" t="str">
        <f t="shared" si="239"/>
        <v>H</v>
      </c>
      <c r="LT10">
        <f t="shared" si="240"/>
        <v>1</v>
      </c>
      <c r="LU10" t="b">
        <f t="shared" ca="1" si="241"/>
        <v>0</v>
      </c>
      <c r="LV10" t="b">
        <f t="shared" ca="1" si="242"/>
        <v>1</v>
      </c>
      <c r="LW10" t="b">
        <f t="shared" ca="1" si="243"/>
        <v>0</v>
      </c>
      <c r="LX10">
        <f t="shared" si="244"/>
        <v>0</v>
      </c>
      <c r="LY10">
        <f t="shared" si="245"/>
        <v>0</v>
      </c>
      <c r="LZ10">
        <f t="shared" si="246"/>
        <v>0</v>
      </c>
      <c r="MA10">
        <f t="shared" ca="1" si="247"/>
        <v>0</v>
      </c>
      <c r="MB10">
        <f t="shared" ca="1" si="248"/>
        <v>0</v>
      </c>
      <c r="MC10">
        <f t="shared" ca="1" si="249"/>
        <v>1</v>
      </c>
      <c r="MD10" t="b">
        <f t="shared" si="250"/>
        <v>0</v>
      </c>
      <c r="ME10" s="6" t="b">
        <f t="shared" si="251"/>
        <v>0</v>
      </c>
    </row>
    <row r="11" spans="1:343" x14ac:dyDescent="0.2">
      <c r="A11" s="104" t="s">
        <v>160</v>
      </c>
      <c r="B11" t="e">
        <f>MATCH(B$2,Spieltage!$C$108:$C$116,0)+107</f>
        <v>#N/A</v>
      </c>
      <c r="C11">
        <f>MATCH(B$2,Spieltage!$E$108:$E$116,0)+107</f>
        <v>113</v>
      </c>
      <c r="D11">
        <f t="shared" si="0"/>
        <v>113</v>
      </c>
      <c r="E11">
        <f ca="1">INDIRECT("Spieltage!$F"&amp;'i2'!D11)</f>
        <v>0</v>
      </c>
      <c r="F11" s="35" t="s">
        <v>12</v>
      </c>
      <c r="G11" s="97">
        <f ca="1">INDIRECT("Spieltage!$H"&amp;'i2'!D11)</f>
        <v>0</v>
      </c>
      <c r="H11" t="str">
        <f t="shared" si="1"/>
        <v>A</v>
      </c>
      <c r="I11">
        <f t="shared" si="2"/>
        <v>2</v>
      </c>
      <c r="J11">
        <f t="shared" si="3"/>
        <v>0</v>
      </c>
      <c r="K11">
        <f t="shared" si="4"/>
        <v>0</v>
      </c>
      <c r="L11">
        <f t="shared" si="5"/>
        <v>0</v>
      </c>
      <c r="M11" t="b">
        <f t="shared" ca="1" si="6"/>
        <v>0</v>
      </c>
      <c r="N11" t="b">
        <f t="shared" ca="1" si="7"/>
        <v>1</v>
      </c>
      <c r="O11" t="b">
        <f t="shared" ca="1" si="8"/>
        <v>0</v>
      </c>
      <c r="P11">
        <f t="shared" ca="1" si="9"/>
        <v>0</v>
      </c>
      <c r="Q11" t="b">
        <f t="shared" si="10"/>
        <v>0</v>
      </c>
      <c r="R11" t="b">
        <f t="shared" si="11"/>
        <v>0</v>
      </c>
      <c r="S11">
        <f t="shared" ca="1" si="12"/>
        <v>0</v>
      </c>
      <c r="T11" s="6">
        <f t="shared" ca="1" si="13"/>
        <v>1</v>
      </c>
      <c r="U11" t="e">
        <f>MATCH(U$2,Spieltage!$C$108:$C$116,0)+107</f>
        <v>#N/A</v>
      </c>
      <c r="V11">
        <f>MATCH(U$2,Spieltage!$E$108:$E$116,0)+107</f>
        <v>114</v>
      </c>
      <c r="W11">
        <f t="shared" si="14"/>
        <v>114</v>
      </c>
      <c r="X11">
        <f ca="1">INDIRECT("Spieltage!$F"&amp;'i2'!W11)</f>
        <v>0</v>
      </c>
      <c r="Y11" s="35" t="s">
        <v>12</v>
      </c>
      <c r="Z11" s="97">
        <f ca="1">INDIRECT("Spieltage!$H"&amp;'i2'!W11)</f>
        <v>0</v>
      </c>
      <c r="AA11" t="str">
        <f t="shared" si="15"/>
        <v>A</v>
      </c>
      <c r="AB11">
        <f t="shared" si="16"/>
        <v>2</v>
      </c>
      <c r="AC11">
        <f t="shared" si="17"/>
        <v>0</v>
      </c>
      <c r="AD11">
        <f t="shared" si="18"/>
        <v>0</v>
      </c>
      <c r="AE11">
        <f t="shared" si="19"/>
        <v>0</v>
      </c>
      <c r="AF11" t="b">
        <f t="shared" ca="1" si="20"/>
        <v>0</v>
      </c>
      <c r="AG11" t="b">
        <f t="shared" ca="1" si="21"/>
        <v>1</v>
      </c>
      <c r="AH11" t="b">
        <f t="shared" ca="1" si="22"/>
        <v>0</v>
      </c>
      <c r="AI11">
        <f t="shared" ca="1" si="23"/>
        <v>0</v>
      </c>
      <c r="AJ11" t="b">
        <f t="shared" si="24"/>
        <v>0</v>
      </c>
      <c r="AK11" t="b">
        <f t="shared" si="25"/>
        <v>0</v>
      </c>
      <c r="AL11">
        <f t="shared" ca="1" si="26"/>
        <v>0</v>
      </c>
      <c r="AM11" s="6">
        <f t="shared" ca="1" si="27"/>
        <v>1</v>
      </c>
      <c r="AN11">
        <f>MATCH(AN$2,Spieltage!$C$108:$C$116,0)+107</f>
        <v>108</v>
      </c>
      <c r="AO11" t="e">
        <f>MATCH(AN$2,Spieltage!$E$108:$E$116,0)+107</f>
        <v>#N/A</v>
      </c>
      <c r="AP11">
        <f t="shared" si="28"/>
        <v>108</v>
      </c>
      <c r="AQ11">
        <f ca="1">INDIRECT("Spieltage!$F"&amp;'i2'!AP11)</f>
        <v>0</v>
      </c>
      <c r="AR11" s="35" t="s">
        <v>12</v>
      </c>
      <c r="AS11" s="97">
        <f ca="1">INDIRECT("Spieltage!$H"&amp;'i2'!AP11)</f>
        <v>0</v>
      </c>
      <c r="AT11" t="str">
        <f t="shared" si="29"/>
        <v>H</v>
      </c>
      <c r="AU11">
        <f t="shared" si="30"/>
        <v>1</v>
      </c>
      <c r="AV11" t="b">
        <f t="shared" ca="1" si="31"/>
        <v>0</v>
      </c>
      <c r="AW11" t="b">
        <f t="shared" ca="1" si="32"/>
        <v>1</v>
      </c>
      <c r="AX11" t="b">
        <f t="shared" ca="1" si="33"/>
        <v>0</v>
      </c>
      <c r="AY11">
        <f t="shared" si="34"/>
        <v>0</v>
      </c>
      <c r="AZ11">
        <f t="shared" si="35"/>
        <v>0</v>
      </c>
      <c r="BA11">
        <f t="shared" si="36"/>
        <v>0</v>
      </c>
      <c r="BB11">
        <f t="shared" ca="1" si="37"/>
        <v>0</v>
      </c>
      <c r="BC11">
        <f t="shared" ca="1" si="38"/>
        <v>0</v>
      </c>
      <c r="BD11">
        <f t="shared" ca="1" si="39"/>
        <v>1</v>
      </c>
      <c r="BE11" t="b">
        <f t="shared" si="40"/>
        <v>0</v>
      </c>
      <c r="BF11" s="6" t="b">
        <f t="shared" si="41"/>
        <v>0</v>
      </c>
      <c r="BG11">
        <f>MATCH(BG$2,Spieltage!$C$108:$C$116,0)+107</f>
        <v>115</v>
      </c>
      <c r="BH11" t="e">
        <f>MATCH(BG$2,Spieltage!$E$108:$E$116,0)+107</f>
        <v>#N/A</v>
      </c>
      <c r="BI11">
        <f t="shared" si="42"/>
        <v>115</v>
      </c>
      <c r="BJ11">
        <f ca="1">INDIRECT("Spieltage!$F"&amp;'i2'!BI11)</f>
        <v>0</v>
      </c>
      <c r="BK11" s="35" t="s">
        <v>12</v>
      </c>
      <c r="BL11" s="97">
        <f ca="1">INDIRECT("Spieltage!$H"&amp;'i2'!BI11)</f>
        <v>0</v>
      </c>
      <c r="BM11" t="str">
        <f t="shared" si="43"/>
        <v>H</v>
      </c>
      <c r="BN11">
        <f t="shared" si="44"/>
        <v>1</v>
      </c>
      <c r="BO11" t="b">
        <f t="shared" ca="1" si="45"/>
        <v>0</v>
      </c>
      <c r="BP11" t="b">
        <f t="shared" ca="1" si="46"/>
        <v>1</v>
      </c>
      <c r="BQ11" t="b">
        <f t="shared" ca="1" si="47"/>
        <v>0</v>
      </c>
      <c r="BR11">
        <f t="shared" si="48"/>
        <v>0</v>
      </c>
      <c r="BS11">
        <f t="shared" si="49"/>
        <v>0</v>
      </c>
      <c r="BT11">
        <f t="shared" si="50"/>
        <v>0</v>
      </c>
      <c r="BU11">
        <f t="shared" ca="1" si="51"/>
        <v>0</v>
      </c>
      <c r="BV11">
        <f t="shared" ca="1" si="52"/>
        <v>0</v>
      </c>
      <c r="BW11">
        <f t="shared" ca="1" si="53"/>
        <v>1</v>
      </c>
      <c r="BX11" t="b">
        <f t="shared" si="54"/>
        <v>0</v>
      </c>
      <c r="BY11" s="6" t="b">
        <f t="shared" si="55"/>
        <v>0</v>
      </c>
      <c r="BZ11">
        <f>MATCH(BZ$2,Spieltage!$C$108:$C$116,0)+107</f>
        <v>109</v>
      </c>
      <c r="CA11" t="e">
        <f>MATCH(BZ$2,Spieltage!$E$108:$E$116,0)+107</f>
        <v>#N/A</v>
      </c>
      <c r="CB11">
        <f t="shared" si="56"/>
        <v>109</v>
      </c>
      <c r="CC11">
        <f ca="1">INDIRECT("Spieltage!$F"&amp;'i2'!CB11)</f>
        <v>0</v>
      </c>
      <c r="CD11" s="35" t="s">
        <v>12</v>
      </c>
      <c r="CE11" s="97">
        <f ca="1">INDIRECT("Spieltage!$H"&amp;'i2'!CB11)</f>
        <v>0</v>
      </c>
      <c r="CF11" t="str">
        <f t="shared" si="57"/>
        <v>H</v>
      </c>
      <c r="CG11">
        <f t="shared" si="58"/>
        <v>1</v>
      </c>
      <c r="CH11" t="b">
        <f t="shared" ca="1" si="59"/>
        <v>0</v>
      </c>
      <c r="CI11" t="b">
        <f t="shared" ca="1" si="60"/>
        <v>1</v>
      </c>
      <c r="CJ11" t="b">
        <f t="shared" ca="1" si="61"/>
        <v>0</v>
      </c>
      <c r="CK11">
        <f t="shared" si="62"/>
        <v>0</v>
      </c>
      <c r="CL11">
        <f t="shared" si="63"/>
        <v>0</v>
      </c>
      <c r="CM11">
        <f t="shared" si="64"/>
        <v>0</v>
      </c>
      <c r="CN11">
        <f t="shared" ca="1" si="65"/>
        <v>0</v>
      </c>
      <c r="CO11">
        <f t="shared" ca="1" si="66"/>
        <v>0</v>
      </c>
      <c r="CP11">
        <f t="shared" ca="1" si="67"/>
        <v>1</v>
      </c>
      <c r="CQ11" t="b">
        <f t="shared" si="68"/>
        <v>0</v>
      </c>
      <c r="CR11" s="6" t="b">
        <f t="shared" si="69"/>
        <v>0</v>
      </c>
      <c r="CS11">
        <f>MATCH(CS$2,Spieltage!$C$108:$C$116,0)+107</f>
        <v>111</v>
      </c>
      <c r="CT11" t="e">
        <f>MATCH(CS$2,Spieltage!$E$108:$E$116,0)+107</f>
        <v>#N/A</v>
      </c>
      <c r="CU11">
        <f t="shared" si="70"/>
        <v>111</v>
      </c>
      <c r="CV11">
        <f ca="1">INDIRECT("Spieltage!$F"&amp;'i2'!CU11)</f>
        <v>0</v>
      </c>
      <c r="CW11" s="35" t="s">
        <v>12</v>
      </c>
      <c r="CX11" s="97">
        <f ca="1">INDIRECT("Spieltage!$H"&amp;'i2'!CU11)</f>
        <v>0</v>
      </c>
      <c r="CY11" t="str">
        <f t="shared" si="71"/>
        <v>H</v>
      </c>
      <c r="CZ11">
        <f t="shared" si="72"/>
        <v>1</v>
      </c>
      <c r="DA11" t="b">
        <f t="shared" ca="1" si="73"/>
        <v>0</v>
      </c>
      <c r="DB11" t="b">
        <f t="shared" ca="1" si="74"/>
        <v>1</v>
      </c>
      <c r="DC11" t="b">
        <f t="shared" ca="1" si="75"/>
        <v>0</v>
      </c>
      <c r="DD11">
        <f t="shared" si="76"/>
        <v>0</v>
      </c>
      <c r="DE11">
        <f t="shared" si="77"/>
        <v>0</v>
      </c>
      <c r="DF11">
        <f t="shared" si="78"/>
        <v>0</v>
      </c>
      <c r="DG11">
        <f t="shared" ca="1" si="79"/>
        <v>0</v>
      </c>
      <c r="DH11">
        <f t="shared" ca="1" si="80"/>
        <v>0</v>
      </c>
      <c r="DI11">
        <f t="shared" ca="1" si="81"/>
        <v>1</v>
      </c>
      <c r="DJ11" t="b">
        <f t="shared" si="82"/>
        <v>0</v>
      </c>
      <c r="DK11" s="6" t="b">
        <f t="shared" si="83"/>
        <v>0</v>
      </c>
      <c r="DL11" t="e">
        <f>MATCH(DL$2,Spieltage!$C$108:$C$116,0)+107</f>
        <v>#N/A</v>
      </c>
      <c r="DM11">
        <f>MATCH(DL$2,Spieltage!$E$108:$E$116,0)+107</f>
        <v>108</v>
      </c>
      <c r="DN11">
        <f t="shared" si="84"/>
        <v>108</v>
      </c>
      <c r="DO11">
        <f ca="1">INDIRECT("Spieltage!$F"&amp;'i2'!DN11)</f>
        <v>0</v>
      </c>
      <c r="DP11" s="35" t="s">
        <v>12</v>
      </c>
      <c r="DQ11" s="97">
        <f ca="1">INDIRECT("Spieltage!$H"&amp;'i2'!DN11)</f>
        <v>0</v>
      </c>
      <c r="DR11" t="str">
        <f t="shared" si="85"/>
        <v>A</v>
      </c>
      <c r="DS11">
        <f t="shared" si="86"/>
        <v>2</v>
      </c>
      <c r="DT11">
        <f t="shared" si="87"/>
        <v>0</v>
      </c>
      <c r="DU11">
        <f t="shared" si="88"/>
        <v>0</v>
      </c>
      <c r="DV11">
        <f t="shared" si="89"/>
        <v>0</v>
      </c>
      <c r="DW11" t="b">
        <f t="shared" ca="1" si="90"/>
        <v>0</v>
      </c>
      <c r="DX11" t="b">
        <f t="shared" ca="1" si="91"/>
        <v>1</v>
      </c>
      <c r="DY11" t="b">
        <f t="shared" ca="1" si="92"/>
        <v>0</v>
      </c>
      <c r="DZ11">
        <f t="shared" ca="1" si="93"/>
        <v>0</v>
      </c>
      <c r="EA11" t="b">
        <f t="shared" si="94"/>
        <v>0</v>
      </c>
      <c r="EB11" t="b">
        <f t="shared" si="95"/>
        <v>0</v>
      </c>
      <c r="EC11">
        <f t="shared" ca="1" si="96"/>
        <v>0</v>
      </c>
      <c r="ED11" s="6">
        <f t="shared" ca="1" si="97"/>
        <v>1</v>
      </c>
      <c r="EE11">
        <f>MATCH(EE$2,Spieltage!$C$108:$C$116,0)+107</f>
        <v>114</v>
      </c>
      <c r="EF11" t="e">
        <f>MATCH(EE$2,Spieltage!$E$108:$E$116,0)+107</f>
        <v>#N/A</v>
      </c>
      <c r="EG11">
        <f t="shared" si="98"/>
        <v>114</v>
      </c>
      <c r="EH11">
        <f ca="1">INDIRECT("Spieltage!$F"&amp;'i2'!EG11)</f>
        <v>0</v>
      </c>
      <c r="EI11" s="35" t="s">
        <v>12</v>
      </c>
      <c r="EJ11" s="97">
        <f ca="1">INDIRECT("Spieltage!$H"&amp;'i2'!EG11)</f>
        <v>0</v>
      </c>
      <c r="EK11" t="str">
        <f t="shared" si="99"/>
        <v>H</v>
      </c>
      <c r="EL11">
        <f t="shared" si="100"/>
        <v>1</v>
      </c>
      <c r="EM11" t="b">
        <f t="shared" ca="1" si="101"/>
        <v>0</v>
      </c>
      <c r="EN11" t="b">
        <f t="shared" ca="1" si="102"/>
        <v>1</v>
      </c>
      <c r="EO11" t="b">
        <f t="shared" ca="1" si="103"/>
        <v>0</v>
      </c>
      <c r="EP11">
        <f t="shared" si="104"/>
        <v>0</v>
      </c>
      <c r="EQ11">
        <f t="shared" si="105"/>
        <v>0</v>
      </c>
      <c r="ER11">
        <f t="shared" si="106"/>
        <v>0</v>
      </c>
      <c r="ES11">
        <f t="shared" ca="1" si="107"/>
        <v>0</v>
      </c>
      <c r="ET11">
        <f t="shared" ca="1" si="108"/>
        <v>0</v>
      </c>
      <c r="EU11">
        <f t="shared" ca="1" si="109"/>
        <v>1</v>
      </c>
      <c r="EV11" t="b">
        <f t="shared" si="110"/>
        <v>0</v>
      </c>
      <c r="EW11" s="6" t="b">
        <f t="shared" si="111"/>
        <v>0</v>
      </c>
      <c r="EX11" t="e">
        <f>MATCH(EX$2,Spieltage!$C$108:$C$116,0)+107</f>
        <v>#N/A</v>
      </c>
      <c r="EY11">
        <f>MATCH(EX$2,Spieltage!$E$108:$E$116,0)+107</f>
        <v>112</v>
      </c>
      <c r="EZ11">
        <f t="shared" si="112"/>
        <v>112</v>
      </c>
      <c r="FA11">
        <f ca="1">INDIRECT("Spieltage!$F"&amp;'i2'!EZ11)</f>
        <v>0</v>
      </c>
      <c r="FB11" s="35" t="s">
        <v>12</v>
      </c>
      <c r="FC11" s="97">
        <f ca="1">INDIRECT("Spieltage!$H"&amp;'i2'!EZ11)</f>
        <v>0</v>
      </c>
      <c r="FD11" t="str">
        <f t="shared" si="113"/>
        <v>A</v>
      </c>
      <c r="FE11">
        <f t="shared" si="114"/>
        <v>2</v>
      </c>
      <c r="FF11">
        <f t="shared" si="115"/>
        <v>0</v>
      </c>
      <c r="FG11">
        <f t="shared" si="116"/>
        <v>0</v>
      </c>
      <c r="FH11">
        <f t="shared" si="117"/>
        <v>0</v>
      </c>
      <c r="FI11" t="b">
        <f t="shared" ca="1" si="118"/>
        <v>0</v>
      </c>
      <c r="FJ11" t="b">
        <f t="shared" ca="1" si="119"/>
        <v>1</v>
      </c>
      <c r="FK11" t="b">
        <f t="shared" ca="1" si="120"/>
        <v>0</v>
      </c>
      <c r="FL11">
        <f t="shared" ca="1" si="121"/>
        <v>0</v>
      </c>
      <c r="FM11" t="b">
        <f t="shared" si="122"/>
        <v>0</v>
      </c>
      <c r="FN11" t="b">
        <f t="shared" si="123"/>
        <v>0</v>
      </c>
      <c r="FO11">
        <f t="shared" ca="1" si="124"/>
        <v>0</v>
      </c>
      <c r="FP11" s="6">
        <f t="shared" ca="1" si="125"/>
        <v>1</v>
      </c>
      <c r="FQ11" t="e">
        <f>MATCH(FQ$2,Spieltage!$C$108:$C$116,0)+107</f>
        <v>#N/A</v>
      </c>
      <c r="FR11">
        <f>MATCH(FQ$2,Spieltage!$E$108:$E$116,0)+107</f>
        <v>110</v>
      </c>
      <c r="FS11">
        <f t="shared" si="126"/>
        <v>110</v>
      </c>
      <c r="FT11">
        <f ca="1">INDIRECT("Spieltage!$F"&amp;'i2'!FS11)</f>
        <v>0</v>
      </c>
      <c r="FU11" s="35" t="s">
        <v>12</v>
      </c>
      <c r="FV11" s="97">
        <f ca="1">INDIRECT("Spieltage!$H"&amp;'i2'!FS11)</f>
        <v>0</v>
      </c>
      <c r="FW11" t="str">
        <f t="shared" si="127"/>
        <v>A</v>
      </c>
      <c r="FX11">
        <f t="shared" si="128"/>
        <v>2</v>
      </c>
      <c r="FY11">
        <f t="shared" si="129"/>
        <v>0</v>
      </c>
      <c r="FZ11">
        <f t="shared" si="130"/>
        <v>0</v>
      </c>
      <c r="GA11">
        <f t="shared" si="131"/>
        <v>0</v>
      </c>
      <c r="GB11" t="b">
        <f t="shared" ca="1" si="132"/>
        <v>0</v>
      </c>
      <c r="GC11" t="b">
        <f t="shared" ca="1" si="133"/>
        <v>1</v>
      </c>
      <c r="GD11" t="b">
        <f t="shared" ca="1" si="134"/>
        <v>0</v>
      </c>
      <c r="GE11">
        <f t="shared" ca="1" si="135"/>
        <v>0</v>
      </c>
      <c r="GF11" t="b">
        <f t="shared" si="136"/>
        <v>0</v>
      </c>
      <c r="GG11" t="b">
        <f t="shared" si="137"/>
        <v>0</v>
      </c>
      <c r="GH11">
        <f t="shared" ca="1" si="138"/>
        <v>0</v>
      </c>
      <c r="GI11" s="6">
        <f t="shared" ca="1" si="139"/>
        <v>1</v>
      </c>
      <c r="GJ11">
        <f>MATCH(GJ$2,Spieltage!$C$108:$C$116,0)+107</f>
        <v>113</v>
      </c>
      <c r="GK11" t="e">
        <f>MATCH(GJ$2,Spieltage!$E$108:$E$116,0)+107</f>
        <v>#N/A</v>
      </c>
      <c r="GL11">
        <f t="shared" si="140"/>
        <v>113</v>
      </c>
      <c r="GM11">
        <f ca="1">INDIRECT("Spieltage!$F"&amp;'i2'!GL11)</f>
        <v>0</v>
      </c>
      <c r="GN11" s="35" t="s">
        <v>12</v>
      </c>
      <c r="GO11" s="97">
        <f ca="1">INDIRECT("Spieltage!$H"&amp;'i2'!GL11)</f>
        <v>0</v>
      </c>
      <c r="GP11" t="str">
        <f t="shared" si="141"/>
        <v>H</v>
      </c>
      <c r="GQ11">
        <f t="shared" si="142"/>
        <v>1</v>
      </c>
      <c r="GR11" t="b">
        <f t="shared" ca="1" si="143"/>
        <v>0</v>
      </c>
      <c r="GS11" t="b">
        <f t="shared" ca="1" si="144"/>
        <v>1</v>
      </c>
      <c r="GT11" t="b">
        <f t="shared" ca="1" si="145"/>
        <v>0</v>
      </c>
      <c r="GU11">
        <f t="shared" si="146"/>
        <v>0</v>
      </c>
      <c r="GV11">
        <f t="shared" si="147"/>
        <v>0</v>
      </c>
      <c r="GW11">
        <f t="shared" si="148"/>
        <v>0</v>
      </c>
      <c r="GX11">
        <f t="shared" ca="1" si="149"/>
        <v>0</v>
      </c>
      <c r="GY11">
        <f t="shared" ca="1" si="150"/>
        <v>0</v>
      </c>
      <c r="GZ11">
        <f t="shared" ca="1" si="151"/>
        <v>1</v>
      </c>
      <c r="HA11" t="b">
        <f t="shared" si="152"/>
        <v>0</v>
      </c>
      <c r="HB11" s="6" t="b">
        <f t="shared" si="153"/>
        <v>0</v>
      </c>
      <c r="HC11">
        <f>MATCH(HC$2,Spieltage!$C$108:$C$116,0)+107</f>
        <v>116</v>
      </c>
      <c r="HD11" t="e">
        <f>MATCH(HC$2,Spieltage!$E$108:$E$116,0)+107</f>
        <v>#N/A</v>
      </c>
      <c r="HE11">
        <f t="shared" si="154"/>
        <v>116</v>
      </c>
      <c r="HF11">
        <f ca="1">INDIRECT("Spieltage!$F"&amp;'i2'!HE11)</f>
        <v>0</v>
      </c>
      <c r="HG11" s="35" t="s">
        <v>12</v>
      </c>
      <c r="HH11" s="97">
        <f ca="1">INDIRECT("Spieltage!$H"&amp;'i2'!HE11)</f>
        <v>0</v>
      </c>
      <c r="HI11" t="str">
        <f t="shared" si="155"/>
        <v>H</v>
      </c>
      <c r="HJ11">
        <f t="shared" si="156"/>
        <v>1</v>
      </c>
      <c r="HK11" t="b">
        <f t="shared" ca="1" si="157"/>
        <v>0</v>
      </c>
      <c r="HL11" t="b">
        <f t="shared" ca="1" si="158"/>
        <v>1</v>
      </c>
      <c r="HM11" t="b">
        <f t="shared" ca="1" si="159"/>
        <v>0</v>
      </c>
      <c r="HN11">
        <f t="shared" si="160"/>
        <v>0</v>
      </c>
      <c r="HO11">
        <f t="shared" si="161"/>
        <v>0</v>
      </c>
      <c r="HP11">
        <f t="shared" si="162"/>
        <v>0</v>
      </c>
      <c r="HQ11">
        <f t="shared" ca="1" si="163"/>
        <v>0</v>
      </c>
      <c r="HR11">
        <f t="shared" ca="1" si="164"/>
        <v>0</v>
      </c>
      <c r="HS11">
        <f t="shared" ca="1" si="165"/>
        <v>1</v>
      </c>
      <c r="HT11" t="b">
        <f t="shared" si="166"/>
        <v>0</v>
      </c>
      <c r="HU11" s="6" t="b">
        <f t="shared" si="167"/>
        <v>0</v>
      </c>
      <c r="HV11" t="e">
        <f>MATCH(HV$2,Spieltage!$C$108:$C$116,0)+107</f>
        <v>#N/A</v>
      </c>
      <c r="HW11">
        <f>MATCH(HV$2,Spieltage!$E$108:$E$116,0)+107</f>
        <v>111</v>
      </c>
      <c r="HX11">
        <f t="shared" si="168"/>
        <v>111</v>
      </c>
      <c r="HY11">
        <f ca="1">INDIRECT("Spieltage!$F"&amp;'i2'!HX11)</f>
        <v>0</v>
      </c>
      <c r="HZ11" s="35" t="s">
        <v>12</v>
      </c>
      <c r="IA11" s="97">
        <f ca="1">INDIRECT("Spieltage!$H"&amp;'i2'!HX11)</f>
        <v>0</v>
      </c>
      <c r="IB11" t="str">
        <f t="shared" si="169"/>
        <v>A</v>
      </c>
      <c r="IC11">
        <f t="shared" si="170"/>
        <v>2</v>
      </c>
      <c r="ID11">
        <f t="shared" si="171"/>
        <v>0</v>
      </c>
      <c r="IE11">
        <f t="shared" si="172"/>
        <v>0</v>
      </c>
      <c r="IF11">
        <f t="shared" si="173"/>
        <v>0</v>
      </c>
      <c r="IG11" t="b">
        <f t="shared" ca="1" si="174"/>
        <v>0</v>
      </c>
      <c r="IH11" t="b">
        <f t="shared" ca="1" si="175"/>
        <v>1</v>
      </c>
      <c r="II11" t="b">
        <f t="shared" ca="1" si="176"/>
        <v>0</v>
      </c>
      <c r="IJ11">
        <f t="shared" ca="1" si="177"/>
        <v>0</v>
      </c>
      <c r="IK11" t="b">
        <f t="shared" si="178"/>
        <v>0</v>
      </c>
      <c r="IL11" t="b">
        <f t="shared" si="179"/>
        <v>0</v>
      </c>
      <c r="IM11">
        <f t="shared" ca="1" si="180"/>
        <v>0</v>
      </c>
      <c r="IN11" s="6">
        <f t="shared" ca="1" si="181"/>
        <v>1</v>
      </c>
      <c r="IO11">
        <f>MATCH(IO$2,Spieltage!$C$108:$C$116,0)+107</f>
        <v>112</v>
      </c>
      <c r="IP11" t="e">
        <f>MATCH(IO$2,Spieltage!$E$108:$E$116,0)+107</f>
        <v>#N/A</v>
      </c>
      <c r="IQ11">
        <f t="shared" si="182"/>
        <v>112</v>
      </c>
      <c r="IR11">
        <f ca="1">INDIRECT("Spieltage!$F"&amp;'i2'!IQ11)</f>
        <v>0</v>
      </c>
      <c r="IS11" s="35" t="s">
        <v>12</v>
      </c>
      <c r="IT11" s="97">
        <f ca="1">INDIRECT("Spieltage!$H"&amp;'i2'!IQ11)</f>
        <v>0</v>
      </c>
      <c r="IU11" t="str">
        <f t="shared" si="183"/>
        <v>H</v>
      </c>
      <c r="IV11">
        <f t="shared" si="184"/>
        <v>1</v>
      </c>
      <c r="IW11" t="b">
        <f t="shared" ca="1" si="185"/>
        <v>0</v>
      </c>
      <c r="IX11" t="b">
        <f t="shared" ca="1" si="186"/>
        <v>1</v>
      </c>
      <c r="IY11" t="b">
        <f t="shared" ca="1" si="187"/>
        <v>0</v>
      </c>
      <c r="IZ11">
        <f t="shared" si="188"/>
        <v>0</v>
      </c>
      <c r="JA11">
        <f t="shared" si="189"/>
        <v>0</v>
      </c>
      <c r="JB11">
        <f t="shared" si="190"/>
        <v>0</v>
      </c>
      <c r="JC11">
        <f t="shared" ca="1" si="191"/>
        <v>0</v>
      </c>
      <c r="JD11">
        <f t="shared" ca="1" si="192"/>
        <v>0</v>
      </c>
      <c r="JE11">
        <f t="shared" ca="1" si="193"/>
        <v>1</v>
      </c>
      <c r="JF11" t="b">
        <f t="shared" si="194"/>
        <v>0</v>
      </c>
      <c r="JG11" s="6" t="b">
        <f t="shared" si="195"/>
        <v>0</v>
      </c>
      <c r="JH11" t="e">
        <f>MATCH(JH$2,Spieltage!$C$108:$C$116,0)+107</f>
        <v>#N/A</v>
      </c>
      <c r="JI11">
        <f>MATCH(JH$2,Spieltage!$E$108:$E$116,0)+107</f>
        <v>109</v>
      </c>
      <c r="JJ11">
        <f t="shared" si="196"/>
        <v>109</v>
      </c>
      <c r="JK11">
        <f ca="1">INDIRECT("Spieltage!$F"&amp;'i2'!JJ11)</f>
        <v>0</v>
      </c>
      <c r="JL11" s="35" t="s">
        <v>12</v>
      </c>
      <c r="JM11" s="97">
        <f ca="1">INDIRECT("Spieltage!$H"&amp;'i2'!JJ11)</f>
        <v>0</v>
      </c>
      <c r="JN11" t="str">
        <f t="shared" si="197"/>
        <v>A</v>
      </c>
      <c r="JO11">
        <f t="shared" si="198"/>
        <v>2</v>
      </c>
      <c r="JP11">
        <f t="shared" si="199"/>
        <v>0</v>
      </c>
      <c r="JQ11">
        <f t="shared" si="200"/>
        <v>0</v>
      </c>
      <c r="JR11">
        <f t="shared" si="201"/>
        <v>0</v>
      </c>
      <c r="JS11" t="b">
        <f t="shared" ca="1" si="202"/>
        <v>0</v>
      </c>
      <c r="JT11" t="b">
        <f t="shared" ca="1" si="203"/>
        <v>1</v>
      </c>
      <c r="JU11" t="b">
        <f t="shared" ca="1" si="204"/>
        <v>0</v>
      </c>
      <c r="JV11">
        <f t="shared" ca="1" si="205"/>
        <v>0</v>
      </c>
      <c r="JW11" t="b">
        <f t="shared" si="206"/>
        <v>0</v>
      </c>
      <c r="JX11" t="b">
        <f t="shared" si="207"/>
        <v>0</v>
      </c>
      <c r="JY11">
        <f t="shared" ca="1" si="208"/>
        <v>0</v>
      </c>
      <c r="JZ11" s="6">
        <f t="shared" ca="1" si="209"/>
        <v>1</v>
      </c>
      <c r="KA11">
        <f>MATCH(KA$2,Spieltage!$C$108:$C$116,0)+107</f>
        <v>110</v>
      </c>
      <c r="KB11" t="e">
        <f>MATCH(KA$2,Spieltage!$E$108:$E$116,0)+107</f>
        <v>#N/A</v>
      </c>
      <c r="KC11">
        <f t="shared" si="210"/>
        <v>110</v>
      </c>
      <c r="KD11">
        <f ca="1">INDIRECT("Spieltage!$F"&amp;'i2'!KC11)</f>
        <v>0</v>
      </c>
      <c r="KE11" s="35" t="s">
        <v>12</v>
      </c>
      <c r="KF11" s="97">
        <f ca="1">INDIRECT("Spieltage!$H"&amp;'i2'!KC11)</f>
        <v>0</v>
      </c>
      <c r="KG11" t="str">
        <f t="shared" si="211"/>
        <v>H</v>
      </c>
      <c r="KH11">
        <f t="shared" si="212"/>
        <v>1</v>
      </c>
      <c r="KI11" t="b">
        <f t="shared" ca="1" si="213"/>
        <v>0</v>
      </c>
      <c r="KJ11" t="b">
        <f t="shared" ca="1" si="214"/>
        <v>1</v>
      </c>
      <c r="KK11" t="b">
        <f t="shared" ca="1" si="215"/>
        <v>0</v>
      </c>
      <c r="KL11">
        <f t="shared" si="216"/>
        <v>0</v>
      </c>
      <c r="KM11">
        <f t="shared" si="217"/>
        <v>0</v>
      </c>
      <c r="KN11">
        <f t="shared" si="218"/>
        <v>0</v>
      </c>
      <c r="KO11">
        <f t="shared" ca="1" si="219"/>
        <v>0</v>
      </c>
      <c r="KP11">
        <f t="shared" ca="1" si="220"/>
        <v>0</v>
      </c>
      <c r="KQ11">
        <f t="shared" ca="1" si="221"/>
        <v>1</v>
      </c>
      <c r="KR11" t="b">
        <f t="shared" si="222"/>
        <v>0</v>
      </c>
      <c r="KS11" s="6" t="b">
        <f t="shared" si="223"/>
        <v>0</v>
      </c>
      <c r="KT11" t="e">
        <f>MATCH(KT$2,Spieltage!$C$108:$C$116,0)+107</f>
        <v>#N/A</v>
      </c>
      <c r="KU11">
        <f>MATCH(KT$2,Spieltage!$E$108:$E$116,0)+107</f>
        <v>115</v>
      </c>
      <c r="KV11">
        <f t="shared" si="224"/>
        <v>115</v>
      </c>
      <c r="KW11">
        <f ca="1">INDIRECT("Spieltage!$F"&amp;'i2'!KV11)</f>
        <v>0</v>
      </c>
      <c r="KX11" s="35" t="s">
        <v>12</v>
      </c>
      <c r="KY11" s="97">
        <f ca="1">INDIRECT("Spieltage!$H"&amp;'i2'!KV11)</f>
        <v>0</v>
      </c>
      <c r="KZ11" t="str">
        <f t="shared" si="225"/>
        <v>A</v>
      </c>
      <c r="LA11">
        <f t="shared" si="226"/>
        <v>2</v>
      </c>
      <c r="LB11">
        <f t="shared" si="227"/>
        <v>0</v>
      </c>
      <c r="LC11">
        <f t="shared" si="228"/>
        <v>0</v>
      </c>
      <c r="LD11">
        <f t="shared" si="229"/>
        <v>0</v>
      </c>
      <c r="LE11" t="b">
        <f t="shared" ca="1" si="230"/>
        <v>0</v>
      </c>
      <c r="LF11" t="b">
        <f t="shared" ca="1" si="231"/>
        <v>1</v>
      </c>
      <c r="LG11" t="b">
        <f t="shared" ca="1" si="232"/>
        <v>0</v>
      </c>
      <c r="LH11">
        <f t="shared" ca="1" si="233"/>
        <v>0</v>
      </c>
      <c r="LI11" t="b">
        <f t="shared" si="234"/>
        <v>0</v>
      </c>
      <c r="LJ11" t="b">
        <f t="shared" si="235"/>
        <v>0</v>
      </c>
      <c r="LK11">
        <f t="shared" ca="1" si="236"/>
        <v>0</v>
      </c>
      <c r="LL11" s="6">
        <f t="shared" ca="1" si="237"/>
        <v>1</v>
      </c>
      <c r="LM11" t="e">
        <f>MATCH(LM$2,Spieltage!$C$108:$C$116,0)+107</f>
        <v>#N/A</v>
      </c>
      <c r="LN11">
        <f>MATCH(LM$2,Spieltage!$E$108:$E$116,0)+107</f>
        <v>116</v>
      </c>
      <c r="LO11">
        <f t="shared" si="238"/>
        <v>116</v>
      </c>
      <c r="LP11">
        <f ca="1">INDIRECT("Spieltage!$F"&amp;'i2'!LO11)</f>
        <v>0</v>
      </c>
      <c r="LQ11" s="35" t="s">
        <v>12</v>
      </c>
      <c r="LR11" s="97">
        <f ca="1">INDIRECT("Spieltage!$H"&amp;'i2'!LO11)</f>
        <v>0</v>
      </c>
      <c r="LS11" t="str">
        <f t="shared" si="239"/>
        <v>A</v>
      </c>
      <c r="LT11">
        <f t="shared" si="240"/>
        <v>2</v>
      </c>
      <c r="LU11">
        <f t="shared" si="241"/>
        <v>0</v>
      </c>
      <c r="LV11">
        <f t="shared" si="242"/>
        <v>0</v>
      </c>
      <c r="LW11">
        <f t="shared" si="243"/>
        <v>0</v>
      </c>
      <c r="LX11" t="b">
        <f t="shared" ca="1" si="244"/>
        <v>0</v>
      </c>
      <c r="LY11" t="b">
        <f t="shared" ca="1" si="245"/>
        <v>1</v>
      </c>
      <c r="LZ11" t="b">
        <f t="shared" ca="1" si="246"/>
        <v>0</v>
      </c>
      <c r="MA11">
        <f t="shared" ca="1" si="247"/>
        <v>0</v>
      </c>
      <c r="MB11" t="b">
        <f t="shared" si="248"/>
        <v>0</v>
      </c>
      <c r="MC11" t="b">
        <f t="shared" si="249"/>
        <v>0</v>
      </c>
      <c r="MD11">
        <f t="shared" ca="1" si="250"/>
        <v>0</v>
      </c>
      <c r="ME11" s="6">
        <f t="shared" ca="1" si="251"/>
        <v>1</v>
      </c>
    </row>
    <row r="12" spans="1:343" x14ac:dyDescent="0.2">
      <c r="A12" s="104" t="s">
        <v>161</v>
      </c>
      <c r="B12">
        <f>MATCH(B$2,Spieltage!$C$123:$C$131,0)+122</f>
        <v>123</v>
      </c>
      <c r="C12" t="e">
        <f>MATCH(B$2,Spieltage!$E$123:$E$131,0)+122</f>
        <v>#N/A</v>
      </c>
      <c r="D12">
        <f t="shared" si="0"/>
        <v>123</v>
      </c>
      <c r="E12">
        <f ca="1">INDIRECT("Spieltage!$F"&amp;'i2'!D12)</f>
        <v>0</v>
      </c>
      <c r="F12" s="35" t="s">
        <v>12</v>
      </c>
      <c r="G12" s="97">
        <f ca="1">INDIRECT("Spieltage!$H"&amp;'i2'!D12)</f>
        <v>0</v>
      </c>
      <c r="H12" t="str">
        <f t="shared" si="1"/>
        <v>H</v>
      </c>
      <c r="I12">
        <f t="shared" si="2"/>
        <v>1</v>
      </c>
      <c r="J12" t="b">
        <f t="shared" ca="1" si="3"/>
        <v>0</v>
      </c>
      <c r="K12" t="b">
        <f t="shared" ca="1" si="4"/>
        <v>1</v>
      </c>
      <c r="L12" t="b">
        <f t="shared" ca="1" si="5"/>
        <v>0</v>
      </c>
      <c r="M12">
        <f t="shared" si="6"/>
        <v>0</v>
      </c>
      <c r="N12">
        <f t="shared" si="7"/>
        <v>0</v>
      </c>
      <c r="O12">
        <f t="shared" si="8"/>
        <v>0</v>
      </c>
      <c r="P12">
        <f t="shared" ca="1" si="9"/>
        <v>0</v>
      </c>
      <c r="Q12">
        <f t="shared" ca="1" si="10"/>
        <v>0</v>
      </c>
      <c r="R12">
        <f t="shared" ca="1" si="11"/>
        <v>1</v>
      </c>
      <c r="S12" t="b">
        <f t="shared" si="12"/>
        <v>0</v>
      </c>
      <c r="T12" s="6" t="b">
        <f t="shared" si="13"/>
        <v>0</v>
      </c>
      <c r="U12">
        <f>MATCH(U$2,Spieltage!$C$123:$C$131,0)+122</f>
        <v>125</v>
      </c>
      <c r="V12" t="e">
        <f>MATCH(U$2,Spieltage!$E$123:$E$131,0)+122</f>
        <v>#N/A</v>
      </c>
      <c r="W12">
        <f t="shared" si="14"/>
        <v>125</v>
      </c>
      <c r="X12">
        <f ca="1">INDIRECT("Spieltage!$F"&amp;'i2'!W12)</f>
        <v>0</v>
      </c>
      <c r="Y12" s="35" t="s">
        <v>12</v>
      </c>
      <c r="Z12" s="97">
        <f ca="1">INDIRECT("Spieltage!$H"&amp;'i2'!W12)</f>
        <v>0</v>
      </c>
      <c r="AA12" t="str">
        <f t="shared" si="15"/>
        <v>H</v>
      </c>
      <c r="AB12">
        <f t="shared" si="16"/>
        <v>1</v>
      </c>
      <c r="AC12" t="b">
        <f t="shared" ca="1" si="17"/>
        <v>0</v>
      </c>
      <c r="AD12" t="b">
        <f t="shared" ca="1" si="18"/>
        <v>1</v>
      </c>
      <c r="AE12" t="b">
        <f t="shared" ca="1" si="19"/>
        <v>0</v>
      </c>
      <c r="AF12">
        <f t="shared" si="20"/>
        <v>0</v>
      </c>
      <c r="AG12">
        <f t="shared" si="21"/>
        <v>0</v>
      </c>
      <c r="AH12">
        <f t="shared" si="22"/>
        <v>0</v>
      </c>
      <c r="AI12">
        <f t="shared" ca="1" si="23"/>
        <v>0</v>
      </c>
      <c r="AJ12">
        <f t="shared" ca="1" si="24"/>
        <v>0</v>
      </c>
      <c r="AK12">
        <f t="shared" ca="1" si="25"/>
        <v>1</v>
      </c>
      <c r="AL12" t="b">
        <f t="shared" si="26"/>
        <v>0</v>
      </c>
      <c r="AM12" s="6" t="b">
        <f t="shared" si="27"/>
        <v>0</v>
      </c>
      <c r="AN12" t="e">
        <f>MATCH(AN$2,Spieltage!$C$123:$C$131,0)+122</f>
        <v>#N/A</v>
      </c>
      <c r="AO12">
        <f>MATCH(AN$2,Spieltage!$E$123:$E$131,0)+122</f>
        <v>123</v>
      </c>
      <c r="AP12">
        <f t="shared" si="28"/>
        <v>123</v>
      </c>
      <c r="AQ12">
        <f ca="1">INDIRECT("Spieltage!$F"&amp;'i2'!AP12)</f>
        <v>0</v>
      </c>
      <c r="AR12" s="35" t="s">
        <v>12</v>
      </c>
      <c r="AS12" s="97">
        <f ca="1">INDIRECT("Spieltage!$H"&amp;'i2'!AP12)</f>
        <v>0</v>
      </c>
      <c r="AT12" t="str">
        <f t="shared" si="29"/>
        <v>A</v>
      </c>
      <c r="AU12">
        <f t="shared" si="30"/>
        <v>2</v>
      </c>
      <c r="AV12">
        <f t="shared" si="31"/>
        <v>0</v>
      </c>
      <c r="AW12">
        <f t="shared" si="32"/>
        <v>0</v>
      </c>
      <c r="AX12">
        <f t="shared" si="33"/>
        <v>0</v>
      </c>
      <c r="AY12" t="b">
        <f t="shared" ca="1" si="34"/>
        <v>0</v>
      </c>
      <c r="AZ12" t="b">
        <f t="shared" ca="1" si="35"/>
        <v>1</v>
      </c>
      <c r="BA12" t="b">
        <f t="shared" ca="1" si="36"/>
        <v>0</v>
      </c>
      <c r="BB12">
        <f t="shared" ca="1" si="37"/>
        <v>0</v>
      </c>
      <c r="BC12" t="b">
        <f t="shared" si="38"/>
        <v>0</v>
      </c>
      <c r="BD12" t="b">
        <f t="shared" si="39"/>
        <v>0</v>
      </c>
      <c r="BE12">
        <f t="shared" ca="1" si="40"/>
        <v>0</v>
      </c>
      <c r="BF12" s="6">
        <f t="shared" ca="1" si="41"/>
        <v>1</v>
      </c>
      <c r="BG12" t="e">
        <f>MATCH(BG$2,Spieltage!$C$123:$C$131,0)+122</f>
        <v>#N/A</v>
      </c>
      <c r="BH12">
        <f>MATCH(BG$2,Spieltage!$E$123:$E$131,0)+122</f>
        <v>126</v>
      </c>
      <c r="BI12">
        <f t="shared" si="42"/>
        <v>126</v>
      </c>
      <c r="BJ12">
        <f ca="1">INDIRECT("Spieltage!$F"&amp;'i2'!BI12)</f>
        <v>0</v>
      </c>
      <c r="BK12" s="35" t="s">
        <v>12</v>
      </c>
      <c r="BL12" s="97">
        <f ca="1">INDIRECT("Spieltage!$H"&amp;'i2'!BI12)</f>
        <v>0</v>
      </c>
      <c r="BM12" t="str">
        <f t="shared" si="43"/>
        <v>A</v>
      </c>
      <c r="BN12">
        <f t="shared" si="44"/>
        <v>2</v>
      </c>
      <c r="BO12">
        <f t="shared" si="45"/>
        <v>0</v>
      </c>
      <c r="BP12">
        <f t="shared" si="46"/>
        <v>0</v>
      </c>
      <c r="BQ12">
        <f t="shared" si="47"/>
        <v>0</v>
      </c>
      <c r="BR12" t="b">
        <f t="shared" ca="1" si="48"/>
        <v>0</v>
      </c>
      <c r="BS12" t="b">
        <f t="shared" ca="1" si="49"/>
        <v>1</v>
      </c>
      <c r="BT12" t="b">
        <f t="shared" ca="1" si="50"/>
        <v>0</v>
      </c>
      <c r="BU12">
        <f t="shared" ca="1" si="51"/>
        <v>0</v>
      </c>
      <c r="BV12" t="b">
        <f t="shared" si="52"/>
        <v>0</v>
      </c>
      <c r="BW12" t="b">
        <f t="shared" si="53"/>
        <v>0</v>
      </c>
      <c r="BX12">
        <f t="shared" ca="1" si="54"/>
        <v>0</v>
      </c>
      <c r="BY12" s="6">
        <f t="shared" ca="1" si="55"/>
        <v>1</v>
      </c>
      <c r="BZ12" t="e">
        <f>MATCH(BZ$2,Spieltage!$C$123:$C$131,0)+122</f>
        <v>#N/A</v>
      </c>
      <c r="CA12">
        <f>MATCH(BZ$2,Spieltage!$E$123:$E$131,0)+122</f>
        <v>130</v>
      </c>
      <c r="CB12">
        <f t="shared" si="56"/>
        <v>130</v>
      </c>
      <c r="CC12">
        <f ca="1">INDIRECT("Spieltage!$F"&amp;'i2'!CB12)</f>
        <v>0</v>
      </c>
      <c r="CD12" s="35" t="s">
        <v>12</v>
      </c>
      <c r="CE12" s="97">
        <f ca="1">INDIRECT("Spieltage!$H"&amp;'i2'!CB12)</f>
        <v>0</v>
      </c>
      <c r="CF12" t="str">
        <f t="shared" si="57"/>
        <v>A</v>
      </c>
      <c r="CG12">
        <f t="shared" si="58"/>
        <v>2</v>
      </c>
      <c r="CH12">
        <f t="shared" si="59"/>
        <v>0</v>
      </c>
      <c r="CI12">
        <f t="shared" si="60"/>
        <v>0</v>
      </c>
      <c r="CJ12">
        <f t="shared" si="61"/>
        <v>0</v>
      </c>
      <c r="CK12" t="b">
        <f t="shared" ca="1" si="62"/>
        <v>0</v>
      </c>
      <c r="CL12" t="b">
        <f t="shared" ca="1" si="63"/>
        <v>1</v>
      </c>
      <c r="CM12" t="b">
        <f t="shared" ca="1" si="64"/>
        <v>0</v>
      </c>
      <c r="CN12">
        <f t="shared" ca="1" si="65"/>
        <v>0</v>
      </c>
      <c r="CO12" t="b">
        <f t="shared" si="66"/>
        <v>0</v>
      </c>
      <c r="CP12" t="b">
        <f t="shared" si="67"/>
        <v>0</v>
      </c>
      <c r="CQ12">
        <f t="shared" ca="1" si="68"/>
        <v>0</v>
      </c>
      <c r="CR12" s="6">
        <f t="shared" ca="1" si="69"/>
        <v>1</v>
      </c>
      <c r="CS12" t="e">
        <f>MATCH(CS$2,Spieltage!$C$123:$C$131,0)+122</f>
        <v>#N/A</v>
      </c>
      <c r="CT12">
        <f>MATCH(CS$2,Spieltage!$E$123:$E$131,0)+122</f>
        <v>124</v>
      </c>
      <c r="CU12">
        <f t="shared" si="70"/>
        <v>124</v>
      </c>
      <c r="CV12">
        <f ca="1">INDIRECT("Spieltage!$F"&amp;'i2'!CU12)</f>
        <v>0</v>
      </c>
      <c r="CW12" s="35" t="s">
        <v>12</v>
      </c>
      <c r="CX12" s="97">
        <f ca="1">INDIRECT("Spieltage!$H"&amp;'i2'!CU12)</f>
        <v>0</v>
      </c>
      <c r="CY12" t="str">
        <f t="shared" si="71"/>
        <v>A</v>
      </c>
      <c r="CZ12">
        <f t="shared" si="72"/>
        <v>2</v>
      </c>
      <c r="DA12">
        <f t="shared" si="73"/>
        <v>0</v>
      </c>
      <c r="DB12">
        <f t="shared" si="74"/>
        <v>0</v>
      </c>
      <c r="DC12">
        <f t="shared" si="75"/>
        <v>0</v>
      </c>
      <c r="DD12" t="b">
        <f t="shared" ca="1" si="76"/>
        <v>0</v>
      </c>
      <c r="DE12" t="b">
        <f t="shared" ca="1" si="77"/>
        <v>1</v>
      </c>
      <c r="DF12" t="b">
        <f t="shared" ca="1" si="78"/>
        <v>0</v>
      </c>
      <c r="DG12">
        <f t="shared" ca="1" si="79"/>
        <v>0</v>
      </c>
      <c r="DH12" t="b">
        <f t="shared" si="80"/>
        <v>0</v>
      </c>
      <c r="DI12" t="b">
        <f t="shared" si="81"/>
        <v>0</v>
      </c>
      <c r="DJ12">
        <f t="shared" ca="1" si="82"/>
        <v>0</v>
      </c>
      <c r="DK12" s="6">
        <f t="shared" ca="1" si="83"/>
        <v>1</v>
      </c>
      <c r="DL12" t="e">
        <f>MATCH(DL$2,Spieltage!$C$123:$C$131,0)+122</f>
        <v>#N/A</v>
      </c>
      <c r="DM12">
        <f>MATCH(DL$2,Spieltage!$E$123:$E$131,0)+122</f>
        <v>128</v>
      </c>
      <c r="DN12">
        <f t="shared" si="84"/>
        <v>128</v>
      </c>
      <c r="DO12">
        <f ca="1">INDIRECT("Spieltage!$F"&amp;'i2'!DN12)</f>
        <v>0</v>
      </c>
      <c r="DP12" s="35" t="s">
        <v>12</v>
      </c>
      <c r="DQ12" s="97">
        <f ca="1">INDIRECT("Spieltage!$H"&amp;'i2'!DN12)</f>
        <v>0</v>
      </c>
      <c r="DR12" t="str">
        <f t="shared" si="85"/>
        <v>A</v>
      </c>
      <c r="DS12">
        <f t="shared" si="86"/>
        <v>2</v>
      </c>
      <c r="DT12">
        <f t="shared" si="87"/>
        <v>0</v>
      </c>
      <c r="DU12">
        <f t="shared" si="88"/>
        <v>0</v>
      </c>
      <c r="DV12">
        <f t="shared" si="89"/>
        <v>0</v>
      </c>
      <c r="DW12" t="b">
        <f t="shared" ca="1" si="90"/>
        <v>0</v>
      </c>
      <c r="DX12" t="b">
        <f t="shared" ca="1" si="91"/>
        <v>1</v>
      </c>
      <c r="DY12" t="b">
        <f t="shared" ca="1" si="92"/>
        <v>0</v>
      </c>
      <c r="DZ12">
        <f t="shared" ca="1" si="93"/>
        <v>0</v>
      </c>
      <c r="EA12" t="b">
        <f t="shared" si="94"/>
        <v>0</v>
      </c>
      <c r="EB12" t="b">
        <f t="shared" si="95"/>
        <v>0</v>
      </c>
      <c r="EC12">
        <f t="shared" ca="1" si="96"/>
        <v>0</v>
      </c>
      <c r="ED12" s="6">
        <f t="shared" ca="1" si="97"/>
        <v>1</v>
      </c>
      <c r="EE12">
        <f>MATCH(EE$2,Spieltage!$C$123:$C$131,0)+122</f>
        <v>127</v>
      </c>
      <c r="EF12" t="e">
        <f>MATCH(EE$2,Spieltage!$E$123:$E$131,0)+122</f>
        <v>#N/A</v>
      </c>
      <c r="EG12">
        <f t="shared" si="98"/>
        <v>127</v>
      </c>
      <c r="EH12">
        <f ca="1">INDIRECT("Spieltage!$F"&amp;'i2'!EG12)</f>
        <v>0</v>
      </c>
      <c r="EI12" s="35" t="s">
        <v>12</v>
      </c>
      <c r="EJ12" s="97">
        <f ca="1">INDIRECT("Spieltage!$H"&amp;'i2'!EG12)</f>
        <v>0</v>
      </c>
      <c r="EK12" t="str">
        <f t="shared" si="99"/>
        <v>H</v>
      </c>
      <c r="EL12">
        <f t="shared" si="100"/>
        <v>1</v>
      </c>
      <c r="EM12" t="b">
        <f t="shared" ca="1" si="101"/>
        <v>0</v>
      </c>
      <c r="EN12" t="b">
        <f t="shared" ca="1" si="102"/>
        <v>1</v>
      </c>
      <c r="EO12" t="b">
        <f t="shared" ca="1" si="103"/>
        <v>0</v>
      </c>
      <c r="EP12">
        <f t="shared" si="104"/>
        <v>0</v>
      </c>
      <c r="EQ12">
        <f t="shared" si="105"/>
        <v>0</v>
      </c>
      <c r="ER12">
        <f t="shared" si="106"/>
        <v>0</v>
      </c>
      <c r="ES12">
        <f t="shared" ca="1" si="107"/>
        <v>0</v>
      </c>
      <c r="ET12">
        <f t="shared" ca="1" si="108"/>
        <v>0</v>
      </c>
      <c r="EU12">
        <f t="shared" ca="1" si="109"/>
        <v>1</v>
      </c>
      <c r="EV12" t="b">
        <f t="shared" si="110"/>
        <v>0</v>
      </c>
      <c r="EW12" s="6" t="b">
        <f t="shared" si="111"/>
        <v>0</v>
      </c>
      <c r="EX12">
        <f>MATCH(EX$2,Spieltage!$C$123:$C$131,0)+122</f>
        <v>124</v>
      </c>
      <c r="EY12" t="e">
        <f>MATCH(EX$2,Spieltage!$E$123:$E$131,0)+122</f>
        <v>#N/A</v>
      </c>
      <c r="EZ12">
        <f t="shared" si="112"/>
        <v>124</v>
      </c>
      <c r="FA12">
        <f ca="1">INDIRECT("Spieltage!$F"&amp;'i2'!EZ12)</f>
        <v>0</v>
      </c>
      <c r="FB12" s="35" t="s">
        <v>12</v>
      </c>
      <c r="FC12" s="97">
        <f ca="1">INDIRECT("Spieltage!$H"&amp;'i2'!EZ12)</f>
        <v>0</v>
      </c>
      <c r="FD12" t="str">
        <f t="shared" si="113"/>
        <v>H</v>
      </c>
      <c r="FE12">
        <f t="shared" si="114"/>
        <v>1</v>
      </c>
      <c r="FF12" t="b">
        <f t="shared" ca="1" si="115"/>
        <v>0</v>
      </c>
      <c r="FG12" t="b">
        <f t="shared" ca="1" si="116"/>
        <v>1</v>
      </c>
      <c r="FH12" t="b">
        <f t="shared" ca="1" si="117"/>
        <v>0</v>
      </c>
      <c r="FI12">
        <f t="shared" si="118"/>
        <v>0</v>
      </c>
      <c r="FJ12">
        <f t="shared" si="119"/>
        <v>0</v>
      </c>
      <c r="FK12">
        <f t="shared" si="120"/>
        <v>0</v>
      </c>
      <c r="FL12">
        <f t="shared" ca="1" si="121"/>
        <v>0</v>
      </c>
      <c r="FM12">
        <f t="shared" ca="1" si="122"/>
        <v>0</v>
      </c>
      <c r="FN12">
        <f t="shared" ca="1" si="123"/>
        <v>1</v>
      </c>
      <c r="FO12" t="b">
        <f t="shared" si="124"/>
        <v>0</v>
      </c>
      <c r="FP12" s="6" t="b">
        <f t="shared" si="125"/>
        <v>0</v>
      </c>
      <c r="FQ12">
        <f>MATCH(FQ$2,Spieltage!$C$123:$C$131,0)+122</f>
        <v>131</v>
      </c>
      <c r="FR12" t="e">
        <f>MATCH(FQ$2,Spieltage!$E$123:$E$131,0)+122</f>
        <v>#N/A</v>
      </c>
      <c r="FS12">
        <f t="shared" si="126"/>
        <v>131</v>
      </c>
      <c r="FT12">
        <f ca="1">INDIRECT("Spieltage!$F"&amp;'i2'!FS12)</f>
        <v>0</v>
      </c>
      <c r="FU12" s="35" t="s">
        <v>12</v>
      </c>
      <c r="FV12" s="97">
        <f ca="1">INDIRECT("Spieltage!$H"&amp;'i2'!FS12)</f>
        <v>0</v>
      </c>
      <c r="FW12" t="str">
        <f t="shared" si="127"/>
        <v>H</v>
      </c>
      <c r="FX12">
        <f t="shared" si="128"/>
        <v>1</v>
      </c>
      <c r="FY12" t="b">
        <f t="shared" ca="1" si="129"/>
        <v>0</v>
      </c>
      <c r="FZ12" t="b">
        <f t="shared" ca="1" si="130"/>
        <v>1</v>
      </c>
      <c r="GA12" t="b">
        <f t="shared" ca="1" si="131"/>
        <v>0</v>
      </c>
      <c r="GB12">
        <f t="shared" si="132"/>
        <v>0</v>
      </c>
      <c r="GC12">
        <f t="shared" si="133"/>
        <v>0</v>
      </c>
      <c r="GD12">
        <f t="shared" si="134"/>
        <v>0</v>
      </c>
      <c r="GE12">
        <f t="shared" ca="1" si="135"/>
        <v>0</v>
      </c>
      <c r="GF12">
        <f t="shared" ca="1" si="136"/>
        <v>0</v>
      </c>
      <c r="GG12">
        <f t="shared" ca="1" si="137"/>
        <v>1</v>
      </c>
      <c r="GH12" t="b">
        <f t="shared" si="138"/>
        <v>0</v>
      </c>
      <c r="GI12" s="6" t="b">
        <f t="shared" si="139"/>
        <v>0</v>
      </c>
      <c r="GJ12" t="e">
        <f>MATCH(GJ$2,Spieltage!$C$123:$C$131,0)+122</f>
        <v>#N/A</v>
      </c>
      <c r="GK12">
        <f>MATCH(GJ$2,Spieltage!$E$123:$E$131,0)+122</f>
        <v>129</v>
      </c>
      <c r="GL12">
        <f t="shared" si="140"/>
        <v>129</v>
      </c>
      <c r="GM12">
        <f ca="1">INDIRECT("Spieltage!$F"&amp;'i2'!GL12)</f>
        <v>0</v>
      </c>
      <c r="GN12" s="35" t="s">
        <v>12</v>
      </c>
      <c r="GO12" s="97">
        <f ca="1">INDIRECT("Spieltage!$H"&amp;'i2'!GL12)</f>
        <v>0</v>
      </c>
      <c r="GP12" t="str">
        <f t="shared" si="141"/>
        <v>A</v>
      </c>
      <c r="GQ12">
        <f t="shared" si="142"/>
        <v>2</v>
      </c>
      <c r="GR12">
        <f t="shared" si="143"/>
        <v>0</v>
      </c>
      <c r="GS12">
        <f t="shared" si="144"/>
        <v>0</v>
      </c>
      <c r="GT12">
        <f t="shared" si="145"/>
        <v>0</v>
      </c>
      <c r="GU12" t="b">
        <f t="shared" ca="1" si="146"/>
        <v>0</v>
      </c>
      <c r="GV12" t="b">
        <f t="shared" ca="1" si="147"/>
        <v>1</v>
      </c>
      <c r="GW12" t="b">
        <f t="shared" ca="1" si="148"/>
        <v>0</v>
      </c>
      <c r="GX12">
        <f t="shared" ca="1" si="149"/>
        <v>0</v>
      </c>
      <c r="GY12" t="b">
        <f t="shared" si="150"/>
        <v>0</v>
      </c>
      <c r="GZ12" t="b">
        <f t="shared" si="151"/>
        <v>0</v>
      </c>
      <c r="HA12">
        <f t="shared" ca="1" si="152"/>
        <v>0</v>
      </c>
      <c r="HB12" s="6">
        <f t="shared" ca="1" si="153"/>
        <v>1</v>
      </c>
      <c r="HC12" t="e">
        <f>MATCH(HC$2,Spieltage!$C$123:$C$131,0)+122</f>
        <v>#N/A</v>
      </c>
      <c r="HD12">
        <f>MATCH(HC$2,Spieltage!$E$123:$E$131,0)+122</f>
        <v>131</v>
      </c>
      <c r="HE12">
        <f t="shared" si="154"/>
        <v>131</v>
      </c>
      <c r="HF12">
        <f ca="1">INDIRECT("Spieltage!$F"&amp;'i2'!HE12)</f>
        <v>0</v>
      </c>
      <c r="HG12" s="35" t="s">
        <v>12</v>
      </c>
      <c r="HH12" s="97">
        <f ca="1">INDIRECT("Spieltage!$H"&amp;'i2'!HE12)</f>
        <v>0</v>
      </c>
      <c r="HI12" t="str">
        <f t="shared" si="155"/>
        <v>A</v>
      </c>
      <c r="HJ12">
        <f t="shared" si="156"/>
        <v>2</v>
      </c>
      <c r="HK12">
        <f t="shared" si="157"/>
        <v>0</v>
      </c>
      <c r="HL12">
        <f t="shared" si="158"/>
        <v>0</v>
      </c>
      <c r="HM12">
        <f t="shared" si="159"/>
        <v>0</v>
      </c>
      <c r="HN12" t="b">
        <f t="shared" ca="1" si="160"/>
        <v>0</v>
      </c>
      <c r="HO12" t="b">
        <f t="shared" ca="1" si="161"/>
        <v>1</v>
      </c>
      <c r="HP12" t="b">
        <f t="shared" ca="1" si="162"/>
        <v>0</v>
      </c>
      <c r="HQ12">
        <f t="shared" ca="1" si="163"/>
        <v>0</v>
      </c>
      <c r="HR12" t="b">
        <f t="shared" si="164"/>
        <v>0</v>
      </c>
      <c r="HS12" t="b">
        <f t="shared" si="165"/>
        <v>0</v>
      </c>
      <c r="HT12">
        <f t="shared" ca="1" si="166"/>
        <v>0</v>
      </c>
      <c r="HU12" s="6">
        <f t="shared" ca="1" si="167"/>
        <v>1</v>
      </c>
      <c r="HV12">
        <f>MATCH(HV$2,Spieltage!$C$123:$C$131,0)+122</f>
        <v>128</v>
      </c>
      <c r="HW12" t="e">
        <f>MATCH(HV$2,Spieltage!$E$123:$E$131,0)+122</f>
        <v>#N/A</v>
      </c>
      <c r="HX12">
        <f t="shared" si="168"/>
        <v>128</v>
      </c>
      <c r="HY12">
        <f ca="1">INDIRECT("Spieltage!$F"&amp;'i2'!HX12)</f>
        <v>0</v>
      </c>
      <c r="HZ12" s="35" t="s">
        <v>12</v>
      </c>
      <c r="IA12" s="97">
        <f ca="1">INDIRECT("Spieltage!$H"&amp;'i2'!HX12)</f>
        <v>0</v>
      </c>
      <c r="IB12" t="str">
        <f t="shared" si="169"/>
        <v>H</v>
      </c>
      <c r="IC12">
        <f t="shared" si="170"/>
        <v>1</v>
      </c>
      <c r="ID12" t="b">
        <f t="shared" ca="1" si="171"/>
        <v>0</v>
      </c>
      <c r="IE12" t="b">
        <f t="shared" ca="1" si="172"/>
        <v>1</v>
      </c>
      <c r="IF12" t="b">
        <f t="shared" ca="1" si="173"/>
        <v>0</v>
      </c>
      <c r="IG12">
        <f t="shared" si="174"/>
        <v>0</v>
      </c>
      <c r="IH12">
        <f t="shared" si="175"/>
        <v>0</v>
      </c>
      <c r="II12">
        <f t="shared" si="176"/>
        <v>0</v>
      </c>
      <c r="IJ12">
        <f t="shared" ca="1" si="177"/>
        <v>0</v>
      </c>
      <c r="IK12">
        <f t="shared" ca="1" si="178"/>
        <v>0</v>
      </c>
      <c r="IL12">
        <f t="shared" ca="1" si="179"/>
        <v>1</v>
      </c>
      <c r="IM12" t="b">
        <f t="shared" si="180"/>
        <v>0</v>
      </c>
      <c r="IN12" s="6" t="b">
        <f t="shared" si="181"/>
        <v>0</v>
      </c>
      <c r="IO12" t="e">
        <f>MATCH(IO$2,Spieltage!$C$123:$C$131,0)+122</f>
        <v>#N/A</v>
      </c>
      <c r="IP12">
        <f>MATCH(IO$2,Spieltage!$E$123:$E$131,0)+122</f>
        <v>125</v>
      </c>
      <c r="IQ12">
        <f t="shared" si="182"/>
        <v>125</v>
      </c>
      <c r="IR12">
        <f ca="1">INDIRECT("Spieltage!$F"&amp;'i2'!IQ12)</f>
        <v>0</v>
      </c>
      <c r="IS12" s="35" t="s">
        <v>12</v>
      </c>
      <c r="IT12" s="97">
        <f ca="1">INDIRECT("Spieltage!$H"&amp;'i2'!IQ12)</f>
        <v>0</v>
      </c>
      <c r="IU12" t="str">
        <f t="shared" si="183"/>
        <v>A</v>
      </c>
      <c r="IV12">
        <f t="shared" si="184"/>
        <v>2</v>
      </c>
      <c r="IW12">
        <f t="shared" si="185"/>
        <v>0</v>
      </c>
      <c r="IX12">
        <f t="shared" si="186"/>
        <v>0</v>
      </c>
      <c r="IY12">
        <f t="shared" si="187"/>
        <v>0</v>
      </c>
      <c r="IZ12" t="b">
        <f t="shared" ca="1" si="188"/>
        <v>0</v>
      </c>
      <c r="JA12" t="b">
        <f t="shared" ca="1" si="189"/>
        <v>1</v>
      </c>
      <c r="JB12" t="b">
        <f t="shared" ca="1" si="190"/>
        <v>0</v>
      </c>
      <c r="JC12">
        <f t="shared" ca="1" si="191"/>
        <v>0</v>
      </c>
      <c r="JD12" t="b">
        <f t="shared" si="192"/>
        <v>0</v>
      </c>
      <c r="JE12" t="b">
        <f t="shared" si="193"/>
        <v>0</v>
      </c>
      <c r="JF12">
        <f t="shared" ca="1" si="194"/>
        <v>0</v>
      </c>
      <c r="JG12" s="6">
        <f t="shared" ca="1" si="195"/>
        <v>1</v>
      </c>
      <c r="JH12">
        <f>MATCH(JH$2,Spieltage!$C$123:$C$131,0)+122</f>
        <v>129</v>
      </c>
      <c r="JI12" t="e">
        <f>MATCH(JH$2,Spieltage!$E$123:$E$131,0)+122</f>
        <v>#N/A</v>
      </c>
      <c r="JJ12">
        <f t="shared" si="196"/>
        <v>129</v>
      </c>
      <c r="JK12">
        <f ca="1">INDIRECT("Spieltage!$F"&amp;'i2'!JJ12)</f>
        <v>0</v>
      </c>
      <c r="JL12" s="35" t="s">
        <v>12</v>
      </c>
      <c r="JM12" s="97">
        <f ca="1">INDIRECT("Spieltage!$H"&amp;'i2'!JJ12)</f>
        <v>0</v>
      </c>
      <c r="JN12" t="str">
        <f t="shared" si="197"/>
        <v>H</v>
      </c>
      <c r="JO12">
        <f t="shared" si="198"/>
        <v>1</v>
      </c>
      <c r="JP12" t="b">
        <f t="shared" ca="1" si="199"/>
        <v>0</v>
      </c>
      <c r="JQ12" t="b">
        <f t="shared" ca="1" si="200"/>
        <v>1</v>
      </c>
      <c r="JR12" t="b">
        <f t="shared" ca="1" si="201"/>
        <v>0</v>
      </c>
      <c r="JS12">
        <f t="shared" si="202"/>
        <v>0</v>
      </c>
      <c r="JT12">
        <f t="shared" si="203"/>
        <v>0</v>
      </c>
      <c r="JU12">
        <f t="shared" si="204"/>
        <v>0</v>
      </c>
      <c r="JV12">
        <f t="shared" ca="1" si="205"/>
        <v>0</v>
      </c>
      <c r="JW12">
        <f t="shared" ca="1" si="206"/>
        <v>0</v>
      </c>
      <c r="JX12">
        <f t="shared" ca="1" si="207"/>
        <v>1</v>
      </c>
      <c r="JY12" t="b">
        <f t="shared" si="208"/>
        <v>0</v>
      </c>
      <c r="JZ12" s="6" t="b">
        <f t="shared" si="209"/>
        <v>0</v>
      </c>
      <c r="KA12" t="e">
        <f>MATCH(KA$2,Spieltage!$C$123:$C$131,0)+122</f>
        <v>#N/A</v>
      </c>
      <c r="KB12">
        <f>MATCH(KA$2,Spieltage!$E$123:$E$131,0)+122</f>
        <v>127</v>
      </c>
      <c r="KC12">
        <f t="shared" si="210"/>
        <v>127</v>
      </c>
      <c r="KD12">
        <f ca="1">INDIRECT("Spieltage!$F"&amp;'i2'!KC12)</f>
        <v>0</v>
      </c>
      <c r="KE12" s="35" t="s">
        <v>12</v>
      </c>
      <c r="KF12" s="97">
        <f ca="1">INDIRECT("Spieltage!$H"&amp;'i2'!KC12)</f>
        <v>0</v>
      </c>
      <c r="KG12" t="str">
        <f t="shared" si="211"/>
        <v>A</v>
      </c>
      <c r="KH12">
        <f t="shared" si="212"/>
        <v>2</v>
      </c>
      <c r="KI12">
        <f t="shared" si="213"/>
        <v>0</v>
      </c>
      <c r="KJ12">
        <f t="shared" si="214"/>
        <v>0</v>
      </c>
      <c r="KK12">
        <f t="shared" si="215"/>
        <v>0</v>
      </c>
      <c r="KL12" t="b">
        <f t="shared" ca="1" si="216"/>
        <v>0</v>
      </c>
      <c r="KM12" t="b">
        <f t="shared" ca="1" si="217"/>
        <v>1</v>
      </c>
      <c r="KN12" t="b">
        <f t="shared" ca="1" si="218"/>
        <v>0</v>
      </c>
      <c r="KO12">
        <f t="shared" ca="1" si="219"/>
        <v>0</v>
      </c>
      <c r="KP12" t="b">
        <f t="shared" si="220"/>
        <v>0</v>
      </c>
      <c r="KQ12" t="b">
        <f t="shared" si="221"/>
        <v>0</v>
      </c>
      <c r="KR12">
        <f t="shared" ca="1" si="222"/>
        <v>0</v>
      </c>
      <c r="KS12" s="6">
        <f t="shared" ca="1" si="223"/>
        <v>1</v>
      </c>
      <c r="KT12">
        <f>MATCH(KT$2,Spieltage!$C$123:$C$131,0)+122</f>
        <v>130</v>
      </c>
      <c r="KU12" t="e">
        <f>MATCH(KT$2,Spieltage!$E$123:$E$131,0)+122</f>
        <v>#N/A</v>
      </c>
      <c r="KV12">
        <f t="shared" si="224"/>
        <v>130</v>
      </c>
      <c r="KW12">
        <f ca="1">INDIRECT("Spieltage!$F"&amp;'i2'!KV12)</f>
        <v>0</v>
      </c>
      <c r="KX12" s="35" t="s">
        <v>12</v>
      </c>
      <c r="KY12" s="97">
        <f ca="1">INDIRECT("Spieltage!$H"&amp;'i2'!KV12)</f>
        <v>0</v>
      </c>
      <c r="KZ12" t="str">
        <f t="shared" si="225"/>
        <v>H</v>
      </c>
      <c r="LA12">
        <f t="shared" si="226"/>
        <v>1</v>
      </c>
      <c r="LB12" t="b">
        <f t="shared" ca="1" si="227"/>
        <v>0</v>
      </c>
      <c r="LC12" t="b">
        <f t="shared" ca="1" si="228"/>
        <v>1</v>
      </c>
      <c r="LD12" t="b">
        <f t="shared" ca="1" si="229"/>
        <v>0</v>
      </c>
      <c r="LE12">
        <f t="shared" si="230"/>
        <v>0</v>
      </c>
      <c r="LF12">
        <f t="shared" si="231"/>
        <v>0</v>
      </c>
      <c r="LG12">
        <f t="shared" si="232"/>
        <v>0</v>
      </c>
      <c r="LH12">
        <f t="shared" ca="1" si="233"/>
        <v>0</v>
      </c>
      <c r="LI12">
        <f t="shared" ca="1" si="234"/>
        <v>0</v>
      </c>
      <c r="LJ12">
        <f t="shared" ca="1" si="235"/>
        <v>1</v>
      </c>
      <c r="LK12" t="b">
        <f t="shared" si="236"/>
        <v>0</v>
      </c>
      <c r="LL12" s="6" t="b">
        <f t="shared" si="237"/>
        <v>0</v>
      </c>
      <c r="LM12">
        <f>MATCH(LM$2,Spieltage!$C$123:$C$131,0)+122</f>
        <v>126</v>
      </c>
      <c r="LN12" t="e">
        <f>MATCH(LM$2,Spieltage!$E$123:$E$131,0)+122</f>
        <v>#N/A</v>
      </c>
      <c r="LO12">
        <f t="shared" si="238"/>
        <v>126</v>
      </c>
      <c r="LP12">
        <f ca="1">INDIRECT("Spieltage!$F"&amp;'i2'!LO12)</f>
        <v>0</v>
      </c>
      <c r="LQ12" s="35" t="s">
        <v>12</v>
      </c>
      <c r="LR12" s="97">
        <f ca="1">INDIRECT("Spieltage!$H"&amp;'i2'!LO12)</f>
        <v>0</v>
      </c>
      <c r="LS12" t="str">
        <f t="shared" si="239"/>
        <v>H</v>
      </c>
      <c r="LT12">
        <f t="shared" si="240"/>
        <v>1</v>
      </c>
      <c r="LU12" t="b">
        <f t="shared" ca="1" si="241"/>
        <v>0</v>
      </c>
      <c r="LV12" t="b">
        <f t="shared" ca="1" si="242"/>
        <v>1</v>
      </c>
      <c r="LW12" t="b">
        <f t="shared" ca="1" si="243"/>
        <v>0</v>
      </c>
      <c r="LX12">
        <f t="shared" si="244"/>
        <v>0</v>
      </c>
      <c r="LY12">
        <f t="shared" si="245"/>
        <v>0</v>
      </c>
      <c r="LZ12">
        <f t="shared" si="246"/>
        <v>0</v>
      </c>
      <c r="MA12">
        <f t="shared" ca="1" si="247"/>
        <v>0</v>
      </c>
      <c r="MB12">
        <f t="shared" ca="1" si="248"/>
        <v>0</v>
      </c>
      <c r="MC12">
        <f t="shared" ca="1" si="249"/>
        <v>1</v>
      </c>
      <c r="MD12" t="b">
        <f t="shared" si="250"/>
        <v>0</v>
      </c>
      <c r="ME12" s="6" t="b">
        <f t="shared" si="251"/>
        <v>0</v>
      </c>
    </row>
    <row r="13" spans="1:343" x14ac:dyDescent="0.2">
      <c r="A13" s="104" t="s">
        <v>221</v>
      </c>
      <c r="B13" t="e">
        <f>MATCH(B$2,Spieltage!$C$138:$C$146,0)+137</f>
        <v>#N/A</v>
      </c>
      <c r="C13">
        <f>MATCH(B$2,Spieltage!$E$138:$E$146,0)+137</f>
        <v>144</v>
      </c>
      <c r="D13">
        <f t="shared" si="0"/>
        <v>144</v>
      </c>
      <c r="E13">
        <f ca="1">INDIRECT("Spieltage!$F"&amp;'i2'!D13)</f>
        <v>0</v>
      </c>
      <c r="F13" s="35" t="s">
        <v>12</v>
      </c>
      <c r="G13" s="97">
        <f ca="1">INDIRECT("Spieltage!$H"&amp;'i2'!D13)</f>
        <v>0</v>
      </c>
      <c r="H13" t="str">
        <f t="shared" si="1"/>
        <v>A</v>
      </c>
      <c r="I13">
        <f t="shared" si="2"/>
        <v>2</v>
      </c>
      <c r="J13">
        <f t="shared" si="3"/>
        <v>0</v>
      </c>
      <c r="K13">
        <f t="shared" si="4"/>
        <v>0</v>
      </c>
      <c r="L13">
        <f t="shared" si="5"/>
        <v>0</v>
      </c>
      <c r="M13" t="b">
        <f t="shared" ca="1" si="6"/>
        <v>0</v>
      </c>
      <c r="N13" t="b">
        <f t="shared" ca="1" si="7"/>
        <v>1</v>
      </c>
      <c r="O13" t="b">
        <f t="shared" ca="1" si="8"/>
        <v>0</v>
      </c>
      <c r="P13">
        <f t="shared" ca="1" si="9"/>
        <v>0</v>
      </c>
      <c r="Q13" t="b">
        <f t="shared" si="10"/>
        <v>0</v>
      </c>
      <c r="R13" t="b">
        <f t="shared" si="11"/>
        <v>0</v>
      </c>
      <c r="S13">
        <f t="shared" ca="1" si="12"/>
        <v>0</v>
      </c>
      <c r="T13" s="6">
        <f t="shared" ca="1" si="13"/>
        <v>1</v>
      </c>
      <c r="U13" t="e">
        <f>MATCH(U$2,Spieltage!$C$138:$C$146,0)+137</f>
        <v>#N/A</v>
      </c>
      <c r="V13">
        <f>MATCH(U$2,Spieltage!$E$138:$E$146,0)+137</f>
        <v>145</v>
      </c>
      <c r="W13">
        <f t="shared" si="14"/>
        <v>145</v>
      </c>
      <c r="X13">
        <f ca="1">INDIRECT("Spieltage!$F"&amp;'i2'!W13)</f>
        <v>0</v>
      </c>
      <c r="Y13" s="35" t="s">
        <v>12</v>
      </c>
      <c r="Z13" s="97">
        <f ca="1">INDIRECT("Spieltage!$H"&amp;'i2'!W13)</f>
        <v>0</v>
      </c>
      <c r="AA13" t="str">
        <f t="shared" si="15"/>
        <v>A</v>
      </c>
      <c r="AB13">
        <f t="shared" si="16"/>
        <v>2</v>
      </c>
      <c r="AC13">
        <f t="shared" si="17"/>
        <v>0</v>
      </c>
      <c r="AD13">
        <f t="shared" si="18"/>
        <v>0</v>
      </c>
      <c r="AE13">
        <f t="shared" si="19"/>
        <v>0</v>
      </c>
      <c r="AF13" t="b">
        <f t="shared" ca="1" si="20"/>
        <v>0</v>
      </c>
      <c r="AG13" t="b">
        <f t="shared" ca="1" si="21"/>
        <v>1</v>
      </c>
      <c r="AH13" t="b">
        <f t="shared" ca="1" si="22"/>
        <v>0</v>
      </c>
      <c r="AI13">
        <f t="shared" ca="1" si="23"/>
        <v>0</v>
      </c>
      <c r="AJ13" t="b">
        <f t="shared" si="24"/>
        <v>0</v>
      </c>
      <c r="AK13" t="b">
        <f t="shared" si="25"/>
        <v>0</v>
      </c>
      <c r="AL13">
        <f t="shared" ca="1" si="26"/>
        <v>0</v>
      </c>
      <c r="AM13" s="6">
        <f t="shared" ca="1" si="27"/>
        <v>1</v>
      </c>
      <c r="AN13">
        <f>MATCH(AN$2,Spieltage!$C$138:$C$146,0)+137</f>
        <v>138</v>
      </c>
      <c r="AO13" t="e">
        <f>MATCH(AN$2,Spieltage!$E$138:$E$146,0)+137</f>
        <v>#N/A</v>
      </c>
      <c r="AP13">
        <f t="shared" si="28"/>
        <v>138</v>
      </c>
      <c r="AQ13">
        <f ca="1">INDIRECT("Spieltage!$F"&amp;'i2'!AP13)</f>
        <v>0</v>
      </c>
      <c r="AR13" s="35" t="s">
        <v>12</v>
      </c>
      <c r="AS13" s="97">
        <f ca="1">INDIRECT("Spieltage!$H"&amp;'i2'!AP13)</f>
        <v>0</v>
      </c>
      <c r="AT13" t="str">
        <f t="shared" si="29"/>
        <v>H</v>
      </c>
      <c r="AU13">
        <f t="shared" si="30"/>
        <v>1</v>
      </c>
      <c r="AV13" t="b">
        <f t="shared" ca="1" si="31"/>
        <v>0</v>
      </c>
      <c r="AW13" t="b">
        <f t="shared" ca="1" si="32"/>
        <v>1</v>
      </c>
      <c r="AX13" t="b">
        <f t="shared" ca="1" si="33"/>
        <v>0</v>
      </c>
      <c r="AY13">
        <f t="shared" si="34"/>
        <v>0</v>
      </c>
      <c r="AZ13">
        <f t="shared" si="35"/>
        <v>0</v>
      </c>
      <c r="BA13">
        <f t="shared" si="36"/>
        <v>0</v>
      </c>
      <c r="BB13">
        <f t="shared" ca="1" si="37"/>
        <v>0</v>
      </c>
      <c r="BC13">
        <f t="shared" ca="1" si="38"/>
        <v>0</v>
      </c>
      <c r="BD13">
        <f t="shared" ca="1" si="39"/>
        <v>1</v>
      </c>
      <c r="BE13" t="b">
        <f t="shared" si="40"/>
        <v>0</v>
      </c>
      <c r="BF13" s="6" t="b">
        <f t="shared" si="41"/>
        <v>0</v>
      </c>
      <c r="BG13">
        <f>MATCH(BG$2,Spieltage!$C$138:$C$146,0)+137</f>
        <v>145</v>
      </c>
      <c r="BH13" t="e">
        <f>MATCH(BG$2,Spieltage!$E$138:$E$146,0)+137</f>
        <v>#N/A</v>
      </c>
      <c r="BI13">
        <f t="shared" si="42"/>
        <v>145</v>
      </c>
      <c r="BJ13">
        <f ca="1">INDIRECT("Spieltage!$F"&amp;'i2'!BI13)</f>
        <v>0</v>
      </c>
      <c r="BK13" s="35" t="s">
        <v>12</v>
      </c>
      <c r="BL13" s="97">
        <f ca="1">INDIRECT("Spieltage!$H"&amp;'i2'!BI13)</f>
        <v>0</v>
      </c>
      <c r="BM13" t="str">
        <f t="shared" si="43"/>
        <v>H</v>
      </c>
      <c r="BN13">
        <f t="shared" si="44"/>
        <v>1</v>
      </c>
      <c r="BO13" t="b">
        <f t="shared" ca="1" si="45"/>
        <v>0</v>
      </c>
      <c r="BP13" t="b">
        <f t="shared" ca="1" si="46"/>
        <v>1</v>
      </c>
      <c r="BQ13" t="b">
        <f t="shared" ca="1" si="47"/>
        <v>0</v>
      </c>
      <c r="BR13">
        <f t="shared" si="48"/>
        <v>0</v>
      </c>
      <c r="BS13">
        <f t="shared" si="49"/>
        <v>0</v>
      </c>
      <c r="BT13">
        <f t="shared" si="50"/>
        <v>0</v>
      </c>
      <c r="BU13">
        <f t="shared" ca="1" si="51"/>
        <v>0</v>
      </c>
      <c r="BV13">
        <f t="shared" ca="1" si="52"/>
        <v>0</v>
      </c>
      <c r="BW13">
        <f t="shared" ca="1" si="53"/>
        <v>1</v>
      </c>
      <c r="BX13" t="b">
        <f t="shared" si="54"/>
        <v>0</v>
      </c>
      <c r="BY13" s="6" t="b">
        <f t="shared" si="55"/>
        <v>0</v>
      </c>
      <c r="BZ13">
        <f>MATCH(BZ$2,Spieltage!$C$138:$C$146,0)+137</f>
        <v>139</v>
      </c>
      <c r="CA13" t="e">
        <f>MATCH(BZ$2,Spieltage!$E$138:$E$146,0)+137</f>
        <v>#N/A</v>
      </c>
      <c r="CB13">
        <f t="shared" si="56"/>
        <v>139</v>
      </c>
      <c r="CC13">
        <f ca="1">INDIRECT("Spieltage!$F"&amp;'i2'!CB13)</f>
        <v>0</v>
      </c>
      <c r="CD13" s="35" t="s">
        <v>12</v>
      </c>
      <c r="CE13" s="97">
        <f ca="1">INDIRECT("Spieltage!$H"&amp;'i2'!CB13)</f>
        <v>0</v>
      </c>
      <c r="CF13" t="str">
        <f t="shared" si="57"/>
        <v>H</v>
      </c>
      <c r="CG13">
        <f t="shared" si="58"/>
        <v>1</v>
      </c>
      <c r="CH13" t="b">
        <f t="shared" ca="1" si="59"/>
        <v>0</v>
      </c>
      <c r="CI13" t="b">
        <f t="shared" ca="1" si="60"/>
        <v>1</v>
      </c>
      <c r="CJ13" t="b">
        <f t="shared" ca="1" si="61"/>
        <v>0</v>
      </c>
      <c r="CK13">
        <f t="shared" si="62"/>
        <v>0</v>
      </c>
      <c r="CL13">
        <f t="shared" si="63"/>
        <v>0</v>
      </c>
      <c r="CM13">
        <f t="shared" si="64"/>
        <v>0</v>
      </c>
      <c r="CN13">
        <f t="shared" ca="1" si="65"/>
        <v>0</v>
      </c>
      <c r="CO13">
        <f t="shared" ca="1" si="66"/>
        <v>0</v>
      </c>
      <c r="CP13">
        <f t="shared" ca="1" si="67"/>
        <v>1</v>
      </c>
      <c r="CQ13" t="b">
        <f t="shared" si="68"/>
        <v>0</v>
      </c>
      <c r="CR13" s="6" t="b">
        <f t="shared" si="69"/>
        <v>0</v>
      </c>
      <c r="CS13">
        <f>MATCH(CS$2,Spieltage!$C$138:$C$146,0)+137</f>
        <v>141</v>
      </c>
      <c r="CT13" t="e">
        <f>MATCH(CS$2,Spieltage!$E$138:$E$146,0)+137</f>
        <v>#N/A</v>
      </c>
      <c r="CU13">
        <f t="shared" si="70"/>
        <v>141</v>
      </c>
      <c r="CV13">
        <f ca="1">INDIRECT("Spieltage!$F"&amp;'i2'!CU13)</f>
        <v>0</v>
      </c>
      <c r="CW13" s="35" t="s">
        <v>12</v>
      </c>
      <c r="CX13" s="97">
        <f ca="1">INDIRECT("Spieltage!$H"&amp;'i2'!CU13)</f>
        <v>0</v>
      </c>
      <c r="CY13" t="str">
        <f t="shared" si="71"/>
        <v>H</v>
      </c>
      <c r="CZ13">
        <f t="shared" si="72"/>
        <v>1</v>
      </c>
      <c r="DA13" t="b">
        <f t="shared" ca="1" si="73"/>
        <v>0</v>
      </c>
      <c r="DB13" t="b">
        <f t="shared" ca="1" si="74"/>
        <v>1</v>
      </c>
      <c r="DC13" t="b">
        <f t="shared" ca="1" si="75"/>
        <v>0</v>
      </c>
      <c r="DD13">
        <f t="shared" si="76"/>
        <v>0</v>
      </c>
      <c r="DE13">
        <f t="shared" si="77"/>
        <v>0</v>
      </c>
      <c r="DF13">
        <f t="shared" si="78"/>
        <v>0</v>
      </c>
      <c r="DG13">
        <f t="shared" ca="1" si="79"/>
        <v>0</v>
      </c>
      <c r="DH13">
        <f t="shared" ca="1" si="80"/>
        <v>0</v>
      </c>
      <c r="DI13">
        <f t="shared" ca="1" si="81"/>
        <v>1</v>
      </c>
      <c r="DJ13" t="b">
        <f t="shared" si="82"/>
        <v>0</v>
      </c>
      <c r="DK13" s="6" t="b">
        <f t="shared" si="83"/>
        <v>0</v>
      </c>
      <c r="DL13">
        <f>MATCH(DL$2,Spieltage!$C$138:$C$146,0)+137</f>
        <v>140</v>
      </c>
      <c r="DM13" t="e">
        <f>MATCH(DL$2,Spieltage!$E$138:$E$146,0)+137</f>
        <v>#N/A</v>
      </c>
      <c r="DN13">
        <f t="shared" si="84"/>
        <v>140</v>
      </c>
      <c r="DO13">
        <f ca="1">INDIRECT("Spieltage!$F"&amp;'i2'!DN13)</f>
        <v>0</v>
      </c>
      <c r="DP13" s="35" t="s">
        <v>12</v>
      </c>
      <c r="DQ13" s="97">
        <f ca="1">INDIRECT("Spieltage!$H"&amp;'i2'!DN13)</f>
        <v>0</v>
      </c>
      <c r="DR13" t="str">
        <f t="shared" si="85"/>
        <v>H</v>
      </c>
      <c r="DS13">
        <f t="shared" si="86"/>
        <v>1</v>
      </c>
      <c r="DT13" t="b">
        <f t="shared" ca="1" si="87"/>
        <v>0</v>
      </c>
      <c r="DU13" t="b">
        <f t="shared" ca="1" si="88"/>
        <v>1</v>
      </c>
      <c r="DV13" t="b">
        <f t="shared" ca="1" si="89"/>
        <v>0</v>
      </c>
      <c r="DW13">
        <f t="shared" si="90"/>
        <v>0</v>
      </c>
      <c r="DX13">
        <f t="shared" si="91"/>
        <v>0</v>
      </c>
      <c r="DY13">
        <f t="shared" si="92"/>
        <v>0</v>
      </c>
      <c r="DZ13">
        <f t="shared" ca="1" si="93"/>
        <v>0</v>
      </c>
      <c r="EA13">
        <f t="shared" ca="1" si="94"/>
        <v>0</v>
      </c>
      <c r="EB13">
        <f t="shared" ca="1" si="95"/>
        <v>1</v>
      </c>
      <c r="EC13" t="b">
        <f t="shared" si="96"/>
        <v>0</v>
      </c>
      <c r="ED13" s="6" t="b">
        <f t="shared" si="97"/>
        <v>0</v>
      </c>
      <c r="EE13" t="e">
        <f>MATCH(EE$2,Spieltage!$C$138:$C$146,0)+137</f>
        <v>#N/A</v>
      </c>
      <c r="EF13">
        <f>MATCH(EE$2,Spieltage!$E$138:$E$146,0)+137</f>
        <v>142</v>
      </c>
      <c r="EG13">
        <f t="shared" si="98"/>
        <v>142</v>
      </c>
      <c r="EH13">
        <f ca="1">INDIRECT("Spieltage!$F"&amp;'i2'!EG13)</f>
        <v>0</v>
      </c>
      <c r="EI13" s="35" t="s">
        <v>12</v>
      </c>
      <c r="EJ13" s="97">
        <f ca="1">INDIRECT("Spieltage!$H"&amp;'i2'!EG13)</f>
        <v>0</v>
      </c>
      <c r="EK13" t="str">
        <f t="shared" si="99"/>
        <v>A</v>
      </c>
      <c r="EL13">
        <f t="shared" si="100"/>
        <v>2</v>
      </c>
      <c r="EM13">
        <f t="shared" si="101"/>
        <v>0</v>
      </c>
      <c r="EN13">
        <f t="shared" si="102"/>
        <v>0</v>
      </c>
      <c r="EO13">
        <f t="shared" si="103"/>
        <v>0</v>
      </c>
      <c r="EP13" t="b">
        <f t="shared" ca="1" si="104"/>
        <v>0</v>
      </c>
      <c r="EQ13" t="b">
        <f t="shared" ca="1" si="105"/>
        <v>1</v>
      </c>
      <c r="ER13" t="b">
        <f t="shared" ca="1" si="106"/>
        <v>0</v>
      </c>
      <c r="ES13">
        <f t="shared" ca="1" si="107"/>
        <v>0</v>
      </c>
      <c r="ET13" t="b">
        <f t="shared" si="108"/>
        <v>0</v>
      </c>
      <c r="EU13" t="b">
        <f t="shared" si="109"/>
        <v>0</v>
      </c>
      <c r="EV13">
        <f t="shared" ca="1" si="110"/>
        <v>0</v>
      </c>
      <c r="EW13" s="6">
        <f t="shared" ca="1" si="111"/>
        <v>1</v>
      </c>
      <c r="EX13" t="e">
        <f>MATCH(EX$2,Spieltage!$C$138:$C$146,0)+137</f>
        <v>#N/A</v>
      </c>
      <c r="EY13">
        <f>MATCH(EX$2,Spieltage!$E$138:$E$146,0)+137</f>
        <v>139</v>
      </c>
      <c r="EZ13">
        <f t="shared" si="112"/>
        <v>139</v>
      </c>
      <c r="FA13">
        <f ca="1">INDIRECT("Spieltage!$F"&amp;'i2'!EZ13)</f>
        <v>0</v>
      </c>
      <c r="FB13" s="35" t="s">
        <v>12</v>
      </c>
      <c r="FC13" s="97">
        <f ca="1">INDIRECT("Spieltage!$H"&amp;'i2'!EZ13)</f>
        <v>0</v>
      </c>
      <c r="FD13" t="str">
        <f t="shared" si="113"/>
        <v>A</v>
      </c>
      <c r="FE13">
        <f t="shared" si="114"/>
        <v>2</v>
      </c>
      <c r="FF13">
        <f t="shared" si="115"/>
        <v>0</v>
      </c>
      <c r="FG13">
        <f t="shared" si="116"/>
        <v>0</v>
      </c>
      <c r="FH13">
        <f t="shared" si="117"/>
        <v>0</v>
      </c>
      <c r="FI13" t="b">
        <f t="shared" ca="1" si="118"/>
        <v>0</v>
      </c>
      <c r="FJ13" t="b">
        <f t="shared" ca="1" si="119"/>
        <v>1</v>
      </c>
      <c r="FK13" t="b">
        <f t="shared" ca="1" si="120"/>
        <v>0</v>
      </c>
      <c r="FL13">
        <f t="shared" ca="1" si="121"/>
        <v>0</v>
      </c>
      <c r="FM13" t="b">
        <f t="shared" si="122"/>
        <v>0</v>
      </c>
      <c r="FN13" t="b">
        <f t="shared" si="123"/>
        <v>0</v>
      </c>
      <c r="FO13">
        <f t="shared" ca="1" si="124"/>
        <v>0</v>
      </c>
      <c r="FP13" s="6">
        <f t="shared" ca="1" si="125"/>
        <v>1</v>
      </c>
      <c r="FQ13" t="e">
        <f>MATCH(FQ$2,Spieltage!$C$138:$C$146,0)+137</f>
        <v>#N/A</v>
      </c>
      <c r="FR13">
        <f>MATCH(FQ$2,Spieltage!$E$138:$E$146,0)+137</f>
        <v>143</v>
      </c>
      <c r="FS13">
        <f t="shared" si="126"/>
        <v>143</v>
      </c>
      <c r="FT13">
        <f ca="1">INDIRECT("Spieltage!$F"&amp;'i2'!FS13)</f>
        <v>0</v>
      </c>
      <c r="FU13" s="35" t="s">
        <v>12</v>
      </c>
      <c r="FV13" s="97">
        <f ca="1">INDIRECT("Spieltage!$H"&amp;'i2'!FS13)</f>
        <v>0</v>
      </c>
      <c r="FW13" t="str">
        <f t="shared" si="127"/>
        <v>A</v>
      </c>
      <c r="FX13">
        <f t="shared" si="128"/>
        <v>2</v>
      </c>
      <c r="FY13">
        <f t="shared" si="129"/>
        <v>0</v>
      </c>
      <c r="FZ13">
        <f t="shared" si="130"/>
        <v>0</v>
      </c>
      <c r="GA13">
        <f t="shared" si="131"/>
        <v>0</v>
      </c>
      <c r="GB13" t="b">
        <f t="shared" ca="1" si="132"/>
        <v>0</v>
      </c>
      <c r="GC13" t="b">
        <f t="shared" ca="1" si="133"/>
        <v>1</v>
      </c>
      <c r="GD13" t="b">
        <f t="shared" ca="1" si="134"/>
        <v>0</v>
      </c>
      <c r="GE13">
        <f t="shared" ca="1" si="135"/>
        <v>0</v>
      </c>
      <c r="GF13" t="b">
        <f t="shared" si="136"/>
        <v>0</v>
      </c>
      <c r="GG13" t="b">
        <f t="shared" si="137"/>
        <v>0</v>
      </c>
      <c r="GH13">
        <f t="shared" ca="1" si="138"/>
        <v>0</v>
      </c>
      <c r="GI13" s="6">
        <f t="shared" ca="1" si="139"/>
        <v>1</v>
      </c>
      <c r="GJ13">
        <f>MATCH(GJ$2,Spieltage!$C$138:$C$146,0)+137</f>
        <v>143</v>
      </c>
      <c r="GK13" t="e">
        <f>MATCH(GJ$2,Spieltage!$E$138:$E$146,0)+137</f>
        <v>#N/A</v>
      </c>
      <c r="GL13">
        <f t="shared" si="140"/>
        <v>143</v>
      </c>
      <c r="GM13">
        <f ca="1">INDIRECT("Spieltage!$F"&amp;'i2'!GL13)</f>
        <v>0</v>
      </c>
      <c r="GN13" s="35" t="s">
        <v>12</v>
      </c>
      <c r="GO13" s="97">
        <f ca="1">INDIRECT("Spieltage!$H"&amp;'i2'!GL13)</f>
        <v>0</v>
      </c>
      <c r="GP13" t="str">
        <f t="shared" si="141"/>
        <v>H</v>
      </c>
      <c r="GQ13">
        <f t="shared" si="142"/>
        <v>1</v>
      </c>
      <c r="GR13" t="b">
        <f t="shared" ca="1" si="143"/>
        <v>0</v>
      </c>
      <c r="GS13" t="b">
        <f t="shared" ca="1" si="144"/>
        <v>1</v>
      </c>
      <c r="GT13" t="b">
        <f t="shared" ca="1" si="145"/>
        <v>0</v>
      </c>
      <c r="GU13">
        <f t="shared" si="146"/>
        <v>0</v>
      </c>
      <c r="GV13">
        <f t="shared" si="147"/>
        <v>0</v>
      </c>
      <c r="GW13">
        <f t="shared" si="148"/>
        <v>0</v>
      </c>
      <c r="GX13">
        <f t="shared" ca="1" si="149"/>
        <v>0</v>
      </c>
      <c r="GY13">
        <f t="shared" ca="1" si="150"/>
        <v>0</v>
      </c>
      <c r="GZ13">
        <f t="shared" ca="1" si="151"/>
        <v>1</v>
      </c>
      <c r="HA13" t="b">
        <f t="shared" si="152"/>
        <v>0</v>
      </c>
      <c r="HB13" s="6" t="b">
        <f t="shared" si="153"/>
        <v>0</v>
      </c>
      <c r="HC13">
        <f>MATCH(HC$2,Spieltage!$C$138:$C$146,0)+137</f>
        <v>146</v>
      </c>
      <c r="HD13" t="e">
        <f>MATCH(HC$2,Spieltage!$E$138:$E$146,0)+137</f>
        <v>#N/A</v>
      </c>
      <c r="HE13">
        <f t="shared" si="154"/>
        <v>146</v>
      </c>
      <c r="HF13">
        <f ca="1">INDIRECT("Spieltage!$F"&amp;'i2'!HE13)</f>
        <v>0</v>
      </c>
      <c r="HG13" s="35" t="s">
        <v>12</v>
      </c>
      <c r="HH13" s="97">
        <f ca="1">INDIRECT("Spieltage!$H"&amp;'i2'!HE13)</f>
        <v>0</v>
      </c>
      <c r="HI13" t="str">
        <f t="shared" si="155"/>
        <v>H</v>
      </c>
      <c r="HJ13">
        <f t="shared" si="156"/>
        <v>1</v>
      </c>
      <c r="HK13" t="b">
        <f t="shared" ca="1" si="157"/>
        <v>0</v>
      </c>
      <c r="HL13" t="b">
        <f t="shared" ca="1" si="158"/>
        <v>1</v>
      </c>
      <c r="HM13" t="b">
        <f t="shared" ca="1" si="159"/>
        <v>0</v>
      </c>
      <c r="HN13">
        <f t="shared" si="160"/>
        <v>0</v>
      </c>
      <c r="HO13">
        <f t="shared" si="161"/>
        <v>0</v>
      </c>
      <c r="HP13">
        <f t="shared" si="162"/>
        <v>0</v>
      </c>
      <c r="HQ13">
        <f t="shared" ca="1" si="163"/>
        <v>0</v>
      </c>
      <c r="HR13">
        <f t="shared" ca="1" si="164"/>
        <v>0</v>
      </c>
      <c r="HS13">
        <f t="shared" ca="1" si="165"/>
        <v>1</v>
      </c>
      <c r="HT13" t="b">
        <f t="shared" si="166"/>
        <v>0</v>
      </c>
      <c r="HU13" s="6" t="b">
        <f t="shared" si="167"/>
        <v>0</v>
      </c>
      <c r="HV13">
        <f>MATCH(HV$2,Spieltage!$C$138:$C$146,0)+137</f>
        <v>144</v>
      </c>
      <c r="HW13" t="e">
        <f>MATCH(HV$2,Spieltage!$E$138:$E$146,0)+137</f>
        <v>#N/A</v>
      </c>
      <c r="HX13">
        <f t="shared" si="168"/>
        <v>144</v>
      </c>
      <c r="HY13">
        <f ca="1">INDIRECT("Spieltage!$F"&amp;'i2'!HX13)</f>
        <v>0</v>
      </c>
      <c r="HZ13" s="35" t="s">
        <v>12</v>
      </c>
      <c r="IA13" s="97">
        <f ca="1">INDIRECT("Spieltage!$H"&amp;'i2'!HX13)</f>
        <v>0</v>
      </c>
      <c r="IB13" t="str">
        <f t="shared" si="169"/>
        <v>H</v>
      </c>
      <c r="IC13">
        <f t="shared" si="170"/>
        <v>1</v>
      </c>
      <c r="ID13" t="b">
        <f t="shared" ca="1" si="171"/>
        <v>0</v>
      </c>
      <c r="IE13" t="b">
        <f t="shared" ca="1" si="172"/>
        <v>1</v>
      </c>
      <c r="IF13" t="b">
        <f t="shared" ca="1" si="173"/>
        <v>0</v>
      </c>
      <c r="IG13">
        <f t="shared" si="174"/>
        <v>0</v>
      </c>
      <c r="IH13">
        <f t="shared" si="175"/>
        <v>0</v>
      </c>
      <c r="II13">
        <f t="shared" si="176"/>
        <v>0</v>
      </c>
      <c r="IJ13">
        <f t="shared" ca="1" si="177"/>
        <v>0</v>
      </c>
      <c r="IK13">
        <f t="shared" ca="1" si="178"/>
        <v>0</v>
      </c>
      <c r="IL13">
        <f t="shared" ca="1" si="179"/>
        <v>1</v>
      </c>
      <c r="IM13" t="b">
        <f t="shared" si="180"/>
        <v>0</v>
      </c>
      <c r="IN13" s="6" t="b">
        <f t="shared" si="181"/>
        <v>0</v>
      </c>
      <c r="IO13">
        <f>MATCH(IO$2,Spieltage!$C$138:$C$146,0)+137</f>
        <v>142</v>
      </c>
      <c r="IP13" t="e">
        <f>MATCH(IO$2,Spieltage!$E$138:$E$146,0)+137</f>
        <v>#N/A</v>
      </c>
      <c r="IQ13">
        <f t="shared" si="182"/>
        <v>142</v>
      </c>
      <c r="IR13">
        <f ca="1">INDIRECT("Spieltage!$F"&amp;'i2'!IQ13)</f>
        <v>0</v>
      </c>
      <c r="IS13" s="35" t="s">
        <v>12</v>
      </c>
      <c r="IT13" s="97">
        <f ca="1">INDIRECT("Spieltage!$H"&amp;'i2'!IQ13)</f>
        <v>0</v>
      </c>
      <c r="IU13" t="str">
        <f t="shared" si="183"/>
        <v>H</v>
      </c>
      <c r="IV13">
        <f t="shared" si="184"/>
        <v>1</v>
      </c>
      <c r="IW13" t="b">
        <f t="shared" ca="1" si="185"/>
        <v>0</v>
      </c>
      <c r="IX13" t="b">
        <f t="shared" ca="1" si="186"/>
        <v>1</v>
      </c>
      <c r="IY13" t="b">
        <f t="shared" ca="1" si="187"/>
        <v>0</v>
      </c>
      <c r="IZ13">
        <f t="shared" si="188"/>
        <v>0</v>
      </c>
      <c r="JA13">
        <f t="shared" si="189"/>
        <v>0</v>
      </c>
      <c r="JB13">
        <f t="shared" si="190"/>
        <v>0</v>
      </c>
      <c r="JC13">
        <f t="shared" ca="1" si="191"/>
        <v>0</v>
      </c>
      <c r="JD13">
        <f t="shared" ca="1" si="192"/>
        <v>0</v>
      </c>
      <c r="JE13">
        <f t="shared" ca="1" si="193"/>
        <v>1</v>
      </c>
      <c r="JF13" t="b">
        <f t="shared" si="194"/>
        <v>0</v>
      </c>
      <c r="JG13" s="6" t="b">
        <f t="shared" si="195"/>
        <v>0</v>
      </c>
      <c r="JH13" t="e">
        <f>MATCH(JH$2,Spieltage!$C$138:$C$146,0)+137</f>
        <v>#N/A</v>
      </c>
      <c r="JI13">
        <f>MATCH(JH$2,Spieltage!$E$138:$E$146,0)+137</f>
        <v>140</v>
      </c>
      <c r="JJ13">
        <f t="shared" si="196"/>
        <v>140</v>
      </c>
      <c r="JK13">
        <f ca="1">INDIRECT("Spieltage!$F"&amp;'i2'!JJ13)</f>
        <v>0</v>
      </c>
      <c r="JL13" s="35" t="s">
        <v>12</v>
      </c>
      <c r="JM13" s="97">
        <f ca="1">INDIRECT("Spieltage!$H"&amp;'i2'!JJ13)</f>
        <v>0</v>
      </c>
      <c r="JN13" t="str">
        <f t="shared" si="197"/>
        <v>A</v>
      </c>
      <c r="JO13">
        <f t="shared" si="198"/>
        <v>2</v>
      </c>
      <c r="JP13">
        <f t="shared" si="199"/>
        <v>0</v>
      </c>
      <c r="JQ13">
        <f t="shared" si="200"/>
        <v>0</v>
      </c>
      <c r="JR13">
        <f t="shared" si="201"/>
        <v>0</v>
      </c>
      <c r="JS13" t="b">
        <f t="shared" ca="1" si="202"/>
        <v>0</v>
      </c>
      <c r="JT13" t="b">
        <f t="shared" ca="1" si="203"/>
        <v>1</v>
      </c>
      <c r="JU13" t="b">
        <f t="shared" ca="1" si="204"/>
        <v>0</v>
      </c>
      <c r="JV13">
        <f t="shared" ca="1" si="205"/>
        <v>0</v>
      </c>
      <c r="JW13" t="b">
        <f t="shared" si="206"/>
        <v>0</v>
      </c>
      <c r="JX13" t="b">
        <f t="shared" si="207"/>
        <v>0</v>
      </c>
      <c r="JY13">
        <f t="shared" ca="1" si="208"/>
        <v>0</v>
      </c>
      <c r="JZ13" s="6">
        <f t="shared" ca="1" si="209"/>
        <v>1</v>
      </c>
      <c r="KA13" t="e">
        <f>MATCH(KA$2,Spieltage!$C$138:$C$146,0)+137</f>
        <v>#N/A</v>
      </c>
      <c r="KB13">
        <f>MATCH(KA$2,Spieltage!$E$138:$E$146,0)+137</f>
        <v>146</v>
      </c>
      <c r="KC13">
        <f t="shared" si="210"/>
        <v>146</v>
      </c>
      <c r="KD13">
        <f ca="1">INDIRECT("Spieltage!$F"&amp;'i2'!KC13)</f>
        <v>0</v>
      </c>
      <c r="KE13" s="35" t="s">
        <v>12</v>
      </c>
      <c r="KF13" s="97">
        <f ca="1">INDIRECT("Spieltage!$H"&amp;'i2'!KC13)</f>
        <v>0</v>
      </c>
      <c r="KG13" t="str">
        <f t="shared" si="211"/>
        <v>A</v>
      </c>
      <c r="KH13">
        <f t="shared" si="212"/>
        <v>2</v>
      </c>
      <c r="KI13">
        <f t="shared" si="213"/>
        <v>0</v>
      </c>
      <c r="KJ13">
        <f t="shared" si="214"/>
        <v>0</v>
      </c>
      <c r="KK13">
        <f t="shared" si="215"/>
        <v>0</v>
      </c>
      <c r="KL13" t="b">
        <f t="shared" ca="1" si="216"/>
        <v>0</v>
      </c>
      <c r="KM13" t="b">
        <f t="shared" ca="1" si="217"/>
        <v>1</v>
      </c>
      <c r="KN13" t="b">
        <f t="shared" ca="1" si="218"/>
        <v>0</v>
      </c>
      <c r="KO13">
        <f t="shared" ca="1" si="219"/>
        <v>0</v>
      </c>
      <c r="KP13" t="b">
        <f t="shared" si="220"/>
        <v>0</v>
      </c>
      <c r="KQ13" t="b">
        <f t="shared" si="221"/>
        <v>0</v>
      </c>
      <c r="KR13">
        <f t="shared" ca="1" si="222"/>
        <v>0</v>
      </c>
      <c r="KS13" s="6">
        <f t="shared" ca="1" si="223"/>
        <v>1</v>
      </c>
      <c r="KT13" t="e">
        <f>MATCH(KT$2,Spieltage!$C$138:$C$146,0)+137</f>
        <v>#N/A</v>
      </c>
      <c r="KU13">
        <f>MATCH(KT$2,Spieltage!$E$138:$E$146,0)+137</f>
        <v>138</v>
      </c>
      <c r="KV13">
        <f t="shared" si="224"/>
        <v>138</v>
      </c>
      <c r="KW13">
        <f ca="1">INDIRECT("Spieltage!$F"&amp;'i2'!KV13)</f>
        <v>0</v>
      </c>
      <c r="KX13" s="35" t="s">
        <v>12</v>
      </c>
      <c r="KY13" s="97">
        <f ca="1">INDIRECT("Spieltage!$H"&amp;'i2'!KV13)</f>
        <v>0</v>
      </c>
      <c r="KZ13" t="str">
        <f t="shared" si="225"/>
        <v>A</v>
      </c>
      <c r="LA13">
        <f t="shared" si="226"/>
        <v>2</v>
      </c>
      <c r="LB13">
        <f t="shared" si="227"/>
        <v>0</v>
      </c>
      <c r="LC13">
        <f t="shared" si="228"/>
        <v>0</v>
      </c>
      <c r="LD13">
        <f t="shared" si="229"/>
        <v>0</v>
      </c>
      <c r="LE13" t="b">
        <f t="shared" ca="1" si="230"/>
        <v>0</v>
      </c>
      <c r="LF13" t="b">
        <f t="shared" ca="1" si="231"/>
        <v>1</v>
      </c>
      <c r="LG13" t="b">
        <f t="shared" ca="1" si="232"/>
        <v>0</v>
      </c>
      <c r="LH13">
        <f t="shared" ca="1" si="233"/>
        <v>0</v>
      </c>
      <c r="LI13" t="b">
        <f t="shared" si="234"/>
        <v>0</v>
      </c>
      <c r="LJ13" t="b">
        <f t="shared" si="235"/>
        <v>0</v>
      </c>
      <c r="LK13">
        <f t="shared" ca="1" si="236"/>
        <v>0</v>
      </c>
      <c r="LL13" s="6">
        <f t="shared" ca="1" si="237"/>
        <v>1</v>
      </c>
      <c r="LM13" t="e">
        <f>MATCH(LM$2,Spieltage!$C$138:$C$146,0)+137</f>
        <v>#N/A</v>
      </c>
      <c r="LN13">
        <f>MATCH(LM$2,Spieltage!$E$138:$E$146,0)+137</f>
        <v>141</v>
      </c>
      <c r="LO13">
        <f t="shared" si="238"/>
        <v>141</v>
      </c>
      <c r="LP13">
        <f ca="1">INDIRECT("Spieltage!$F"&amp;'i2'!LO13)</f>
        <v>0</v>
      </c>
      <c r="LQ13" s="35" t="s">
        <v>12</v>
      </c>
      <c r="LR13" s="97">
        <f ca="1">INDIRECT("Spieltage!$H"&amp;'i2'!LO13)</f>
        <v>0</v>
      </c>
      <c r="LS13" t="str">
        <f t="shared" si="239"/>
        <v>A</v>
      </c>
      <c r="LT13">
        <f t="shared" si="240"/>
        <v>2</v>
      </c>
      <c r="LU13">
        <f t="shared" si="241"/>
        <v>0</v>
      </c>
      <c r="LV13">
        <f t="shared" si="242"/>
        <v>0</v>
      </c>
      <c r="LW13">
        <f t="shared" si="243"/>
        <v>0</v>
      </c>
      <c r="LX13" t="b">
        <f t="shared" ca="1" si="244"/>
        <v>0</v>
      </c>
      <c r="LY13" t="b">
        <f t="shared" ca="1" si="245"/>
        <v>1</v>
      </c>
      <c r="LZ13" t="b">
        <f t="shared" ca="1" si="246"/>
        <v>0</v>
      </c>
      <c r="MA13">
        <f t="shared" ca="1" si="247"/>
        <v>0</v>
      </c>
      <c r="MB13" t="b">
        <f t="shared" si="248"/>
        <v>0</v>
      </c>
      <c r="MC13" t="b">
        <f t="shared" si="249"/>
        <v>0</v>
      </c>
      <c r="MD13">
        <f t="shared" ca="1" si="250"/>
        <v>0</v>
      </c>
      <c r="ME13" s="6">
        <f t="shared" ca="1" si="251"/>
        <v>1</v>
      </c>
    </row>
    <row r="14" spans="1:343" x14ac:dyDescent="0.2">
      <c r="A14" s="104" t="s">
        <v>222</v>
      </c>
      <c r="B14">
        <f>MATCH(B$2,Spieltage!$C$153:$C$161,0)+152</f>
        <v>153</v>
      </c>
      <c r="C14" t="e">
        <f>MATCH(B$2,Spieltage!$E$153:$E$161,0)+152</f>
        <v>#N/A</v>
      </c>
      <c r="D14">
        <f t="shared" si="0"/>
        <v>153</v>
      </c>
      <c r="E14">
        <f ca="1">INDIRECT("Spieltage!$F"&amp;'i2'!D14)</f>
        <v>0</v>
      </c>
      <c r="F14" s="35" t="s">
        <v>12</v>
      </c>
      <c r="G14" s="97">
        <f ca="1">INDIRECT("Spieltage!$H"&amp;'i2'!D14)</f>
        <v>0</v>
      </c>
      <c r="H14" t="str">
        <f t="shared" si="1"/>
        <v>H</v>
      </c>
      <c r="I14">
        <f t="shared" si="2"/>
        <v>1</v>
      </c>
      <c r="J14" t="b">
        <f t="shared" ca="1" si="3"/>
        <v>0</v>
      </c>
      <c r="K14" t="b">
        <f t="shared" ca="1" si="4"/>
        <v>1</v>
      </c>
      <c r="L14" t="b">
        <f t="shared" ca="1" si="5"/>
        <v>0</v>
      </c>
      <c r="M14">
        <f t="shared" si="6"/>
        <v>0</v>
      </c>
      <c r="N14">
        <f t="shared" si="7"/>
        <v>0</v>
      </c>
      <c r="O14">
        <f t="shared" si="8"/>
        <v>0</v>
      </c>
      <c r="P14">
        <f t="shared" ca="1" si="9"/>
        <v>0</v>
      </c>
      <c r="Q14">
        <f t="shared" ca="1" si="10"/>
        <v>0</v>
      </c>
      <c r="R14">
        <f t="shared" ca="1" si="11"/>
        <v>1</v>
      </c>
      <c r="S14" t="b">
        <f t="shared" si="12"/>
        <v>0</v>
      </c>
      <c r="T14" s="6" t="b">
        <f t="shared" si="13"/>
        <v>0</v>
      </c>
      <c r="U14">
        <f>MATCH(U$2,Spieltage!$C$153:$C$161,0)+152</f>
        <v>156</v>
      </c>
      <c r="V14" t="e">
        <f>MATCH(U$2,Spieltage!$E$153:$E$161,0)+152</f>
        <v>#N/A</v>
      </c>
      <c r="W14">
        <f t="shared" si="14"/>
        <v>156</v>
      </c>
      <c r="X14">
        <f ca="1">INDIRECT("Spieltage!$F"&amp;'i2'!W14)</f>
        <v>0</v>
      </c>
      <c r="Y14" s="35" t="s">
        <v>12</v>
      </c>
      <c r="Z14" s="97">
        <f ca="1">INDIRECT("Spieltage!$H"&amp;'i2'!W14)</f>
        <v>0</v>
      </c>
      <c r="AA14" t="str">
        <f t="shared" si="15"/>
        <v>H</v>
      </c>
      <c r="AB14">
        <f t="shared" si="16"/>
        <v>1</v>
      </c>
      <c r="AC14" t="b">
        <f t="shared" ca="1" si="17"/>
        <v>0</v>
      </c>
      <c r="AD14" t="b">
        <f t="shared" ca="1" si="18"/>
        <v>1</v>
      </c>
      <c r="AE14" t="b">
        <f t="shared" ca="1" si="19"/>
        <v>0</v>
      </c>
      <c r="AF14">
        <f t="shared" si="20"/>
        <v>0</v>
      </c>
      <c r="AG14">
        <f t="shared" si="21"/>
        <v>0</v>
      </c>
      <c r="AH14">
        <f t="shared" si="22"/>
        <v>0</v>
      </c>
      <c r="AI14">
        <f t="shared" ca="1" si="23"/>
        <v>0</v>
      </c>
      <c r="AJ14">
        <f t="shared" ca="1" si="24"/>
        <v>0</v>
      </c>
      <c r="AK14">
        <f t="shared" ca="1" si="25"/>
        <v>1</v>
      </c>
      <c r="AL14" t="b">
        <f t="shared" si="26"/>
        <v>0</v>
      </c>
      <c r="AM14" s="6" t="b">
        <f t="shared" si="27"/>
        <v>0</v>
      </c>
      <c r="AN14" t="e">
        <f>MATCH(AN$2,Spieltage!$C$153:$C$161,0)+152</f>
        <v>#N/A</v>
      </c>
      <c r="AO14">
        <f>MATCH(AN$2,Spieltage!$E$153:$E$161,0)+152</f>
        <v>157</v>
      </c>
      <c r="AP14">
        <f t="shared" si="28"/>
        <v>157</v>
      </c>
      <c r="AQ14">
        <f ca="1">INDIRECT("Spieltage!$F"&amp;'i2'!AP14)</f>
        <v>0</v>
      </c>
      <c r="AR14" s="35" t="s">
        <v>12</v>
      </c>
      <c r="AS14" s="97">
        <f ca="1">INDIRECT("Spieltage!$H"&amp;'i2'!AP14)</f>
        <v>0</v>
      </c>
      <c r="AT14" t="str">
        <f t="shared" si="29"/>
        <v>A</v>
      </c>
      <c r="AU14">
        <f t="shared" si="30"/>
        <v>2</v>
      </c>
      <c r="AV14">
        <f t="shared" si="31"/>
        <v>0</v>
      </c>
      <c r="AW14">
        <f t="shared" si="32"/>
        <v>0</v>
      </c>
      <c r="AX14">
        <f t="shared" si="33"/>
        <v>0</v>
      </c>
      <c r="AY14" t="b">
        <f t="shared" ca="1" si="34"/>
        <v>0</v>
      </c>
      <c r="AZ14" t="b">
        <f t="shared" ca="1" si="35"/>
        <v>1</v>
      </c>
      <c r="BA14" t="b">
        <f t="shared" ca="1" si="36"/>
        <v>0</v>
      </c>
      <c r="BB14">
        <f t="shared" ca="1" si="37"/>
        <v>0</v>
      </c>
      <c r="BC14" t="b">
        <f t="shared" si="38"/>
        <v>0</v>
      </c>
      <c r="BD14" t="b">
        <f t="shared" si="39"/>
        <v>0</v>
      </c>
      <c r="BE14">
        <f t="shared" ca="1" si="40"/>
        <v>0</v>
      </c>
      <c r="BF14" s="6">
        <f t="shared" ca="1" si="41"/>
        <v>1</v>
      </c>
      <c r="BG14" t="e">
        <f>MATCH(BG$2,Spieltage!$C$153:$C$161,0)+152</f>
        <v>#N/A</v>
      </c>
      <c r="BH14">
        <f>MATCH(BG$2,Spieltage!$E$153:$E$161,0)+152</f>
        <v>155</v>
      </c>
      <c r="BI14">
        <f t="shared" si="42"/>
        <v>155</v>
      </c>
      <c r="BJ14">
        <f ca="1">INDIRECT("Spieltage!$F"&amp;'i2'!BI14)</f>
        <v>0</v>
      </c>
      <c r="BK14" s="35" t="s">
        <v>12</v>
      </c>
      <c r="BL14" s="97">
        <f ca="1">INDIRECT("Spieltage!$H"&amp;'i2'!BI14)</f>
        <v>0</v>
      </c>
      <c r="BM14" t="str">
        <f t="shared" si="43"/>
        <v>A</v>
      </c>
      <c r="BN14">
        <f t="shared" si="44"/>
        <v>2</v>
      </c>
      <c r="BO14">
        <f t="shared" si="45"/>
        <v>0</v>
      </c>
      <c r="BP14">
        <f t="shared" si="46"/>
        <v>0</v>
      </c>
      <c r="BQ14">
        <f t="shared" si="47"/>
        <v>0</v>
      </c>
      <c r="BR14" t="b">
        <f t="shared" ca="1" si="48"/>
        <v>0</v>
      </c>
      <c r="BS14" t="b">
        <f t="shared" ca="1" si="49"/>
        <v>1</v>
      </c>
      <c r="BT14" t="b">
        <f t="shared" ca="1" si="50"/>
        <v>0</v>
      </c>
      <c r="BU14">
        <f t="shared" ca="1" si="51"/>
        <v>0</v>
      </c>
      <c r="BV14" t="b">
        <f t="shared" si="52"/>
        <v>0</v>
      </c>
      <c r="BW14" t="b">
        <f t="shared" si="53"/>
        <v>0</v>
      </c>
      <c r="BX14">
        <f t="shared" ca="1" si="54"/>
        <v>0</v>
      </c>
      <c r="BY14" s="6">
        <f t="shared" ca="1" si="55"/>
        <v>1</v>
      </c>
      <c r="BZ14" t="e">
        <f>MATCH(BZ$2,Spieltage!$C$153:$C$161,0)+152</f>
        <v>#N/A</v>
      </c>
      <c r="CA14">
        <f>MATCH(BZ$2,Spieltage!$E$153:$E$161,0)+152</f>
        <v>161</v>
      </c>
      <c r="CB14">
        <f t="shared" si="56"/>
        <v>161</v>
      </c>
      <c r="CC14">
        <f ca="1">INDIRECT("Spieltage!$F"&amp;'i2'!CB14)</f>
        <v>0</v>
      </c>
      <c r="CD14" s="35" t="s">
        <v>12</v>
      </c>
      <c r="CE14" s="97">
        <f ca="1">INDIRECT("Spieltage!$H"&amp;'i2'!CB14)</f>
        <v>0</v>
      </c>
      <c r="CF14" t="str">
        <f t="shared" si="57"/>
        <v>A</v>
      </c>
      <c r="CG14">
        <f t="shared" si="58"/>
        <v>2</v>
      </c>
      <c r="CH14">
        <f t="shared" si="59"/>
        <v>0</v>
      </c>
      <c r="CI14">
        <f t="shared" si="60"/>
        <v>0</v>
      </c>
      <c r="CJ14">
        <f t="shared" si="61"/>
        <v>0</v>
      </c>
      <c r="CK14" t="b">
        <f t="shared" ca="1" si="62"/>
        <v>0</v>
      </c>
      <c r="CL14" t="b">
        <f t="shared" ca="1" si="63"/>
        <v>1</v>
      </c>
      <c r="CM14" t="b">
        <f t="shared" ca="1" si="64"/>
        <v>0</v>
      </c>
      <c r="CN14">
        <f t="shared" ca="1" si="65"/>
        <v>0</v>
      </c>
      <c r="CO14" t="b">
        <f t="shared" si="66"/>
        <v>0</v>
      </c>
      <c r="CP14" t="b">
        <f t="shared" si="67"/>
        <v>0</v>
      </c>
      <c r="CQ14">
        <f t="shared" ca="1" si="68"/>
        <v>0</v>
      </c>
      <c r="CR14" s="6">
        <f t="shared" ca="1" si="69"/>
        <v>1</v>
      </c>
      <c r="CS14" t="e">
        <f>MATCH(CS$2,Spieltage!$C$153:$C$161,0)+152</f>
        <v>#N/A</v>
      </c>
      <c r="CT14">
        <f>MATCH(CS$2,Spieltage!$E$153:$E$161,0)+152</f>
        <v>156</v>
      </c>
      <c r="CU14">
        <f t="shared" si="70"/>
        <v>156</v>
      </c>
      <c r="CV14">
        <f ca="1">INDIRECT("Spieltage!$F"&amp;'i2'!CU14)</f>
        <v>0</v>
      </c>
      <c r="CW14" s="35" t="s">
        <v>12</v>
      </c>
      <c r="CX14" s="97">
        <f ca="1">INDIRECT("Spieltage!$H"&amp;'i2'!CU14)</f>
        <v>0</v>
      </c>
      <c r="CY14" t="str">
        <f t="shared" si="71"/>
        <v>A</v>
      </c>
      <c r="CZ14">
        <f t="shared" si="72"/>
        <v>2</v>
      </c>
      <c r="DA14">
        <f t="shared" si="73"/>
        <v>0</v>
      </c>
      <c r="DB14">
        <f t="shared" si="74"/>
        <v>0</v>
      </c>
      <c r="DC14">
        <f t="shared" si="75"/>
        <v>0</v>
      </c>
      <c r="DD14" t="b">
        <f t="shared" ca="1" si="76"/>
        <v>0</v>
      </c>
      <c r="DE14" t="b">
        <f t="shared" ca="1" si="77"/>
        <v>1</v>
      </c>
      <c r="DF14" t="b">
        <f t="shared" ca="1" si="78"/>
        <v>0</v>
      </c>
      <c r="DG14">
        <f t="shared" ca="1" si="79"/>
        <v>0</v>
      </c>
      <c r="DH14" t="b">
        <f t="shared" si="80"/>
        <v>0</v>
      </c>
      <c r="DI14" t="b">
        <f t="shared" si="81"/>
        <v>0</v>
      </c>
      <c r="DJ14">
        <f t="shared" ca="1" si="82"/>
        <v>0</v>
      </c>
      <c r="DK14" s="6">
        <f t="shared" ca="1" si="83"/>
        <v>1</v>
      </c>
      <c r="DL14" t="e">
        <f>MATCH(DL$2,Spieltage!$C$153:$C$161,0)+152</f>
        <v>#N/A</v>
      </c>
      <c r="DM14">
        <f>MATCH(DL$2,Spieltage!$E$153:$E$161,0)+152</f>
        <v>153</v>
      </c>
      <c r="DN14">
        <f t="shared" si="84"/>
        <v>153</v>
      </c>
      <c r="DO14">
        <f ca="1">INDIRECT("Spieltage!$F"&amp;'i2'!DN14)</f>
        <v>0</v>
      </c>
      <c r="DP14" s="35" t="s">
        <v>12</v>
      </c>
      <c r="DQ14" s="97">
        <f ca="1">INDIRECT("Spieltage!$H"&amp;'i2'!DN14)</f>
        <v>0</v>
      </c>
      <c r="DR14" t="str">
        <f t="shared" si="85"/>
        <v>A</v>
      </c>
      <c r="DS14">
        <f t="shared" si="86"/>
        <v>2</v>
      </c>
      <c r="DT14">
        <f t="shared" si="87"/>
        <v>0</v>
      </c>
      <c r="DU14">
        <f t="shared" si="88"/>
        <v>0</v>
      </c>
      <c r="DV14">
        <f t="shared" si="89"/>
        <v>0</v>
      </c>
      <c r="DW14" t="b">
        <f t="shared" ca="1" si="90"/>
        <v>0</v>
      </c>
      <c r="DX14" t="b">
        <f t="shared" ca="1" si="91"/>
        <v>1</v>
      </c>
      <c r="DY14" t="b">
        <f t="shared" ca="1" si="92"/>
        <v>0</v>
      </c>
      <c r="DZ14">
        <f t="shared" ca="1" si="93"/>
        <v>0</v>
      </c>
      <c r="EA14" t="b">
        <f t="shared" si="94"/>
        <v>0</v>
      </c>
      <c r="EB14" t="b">
        <f t="shared" si="95"/>
        <v>0</v>
      </c>
      <c r="EC14">
        <f t="shared" ca="1" si="96"/>
        <v>0</v>
      </c>
      <c r="ED14" s="6">
        <f t="shared" ca="1" si="97"/>
        <v>1</v>
      </c>
      <c r="EE14">
        <f>MATCH(EE$2,Spieltage!$C$153:$C$161,0)+152</f>
        <v>158</v>
      </c>
      <c r="EF14" t="e">
        <f>MATCH(EE$2,Spieltage!$E$153:$E$161,0)+152</f>
        <v>#N/A</v>
      </c>
      <c r="EG14">
        <f t="shared" si="98"/>
        <v>158</v>
      </c>
      <c r="EH14">
        <f ca="1">INDIRECT("Spieltage!$F"&amp;'i2'!EG14)</f>
        <v>0</v>
      </c>
      <c r="EI14" s="35" t="s">
        <v>12</v>
      </c>
      <c r="EJ14" s="97">
        <f ca="1">INDIRECT("Spieltage!$H"&amp;'i2'!EG14)</f>
        <v>0</v>
      </c>
      <c r="EK14" t="str">
        <f t="shared" si="99"/>
        <v>H</v>
      </c>
      <c r="EL14">
        <f t="shared" si="100"/>
        <v>1</v>
      </c>
      <c r="EM14" t="b">
        <f t="shared" ca="1" si="101"/>
        <v>0</v>
      </c>
      <c r="EN14" t="b">
        <f t="shared" ca="1" si="102"/>
        <v>1</v>
      </c>
      <c r="EO14" t="b">
        <f t="shared" ca="1" si="103"/>
        <v>0</v>
      </c>
      <c r="EP14">
        <f t="shared" si="104"/>
        <v>0</v>
      </c>
      <c r="EQ14">
        <f t="shared" si="105"/>
        <v>0</v>
      </c>
      <c r="ER14">
        <f t="shared" si="106"/>
        <v>0</v>
      </c>
      <c r="ES14">
        <f t="shared" ca="1" si="107"/>
        <v>0</v>
      </c>
      <c r="ET14">
        <f t="shared" ca="1" si="108"/>
        <v>0</v>
      </c>
      <c r="EU14">
        <f t="shared" ca="1" si="109"/>
        <v>1</v>
      </c>
      <c r="EV14" t="b">
        <f t="shared" si="110"/>
        <v>0</v>
      </c>
      <c r="EW14" s="6" t="b">
        <f t="shared" si="111"/>
        <v>0</v>
      </c>
      <c r="EX14">
        <f>MATCH(EX$2,Spieltage!$C$153:$C$161,0)+152</f>
        <v>155</v>
      </c>
      <c r="EY14" t="e">
        <f>MATCH(EX$2,Spieltage!$E$153:$E$161,0)+152</f>
        <v>#N/A</v>
      </c>
      <c r="EZ14">
        <f t="shared" si="112"/>
        <v>155</v>
      </c>
      <c r="FA14">
        <f ca="1">INDIRECT("Spieltage!$F"&amp;'i2'!EZ14)</f>
        <v>0</v>
      </c>
      <c r="FB14" s="35" t="s">
        <v>12</v>
      </c>
      <c r="FC14" s="97">
        <f ca="1">INDIRECT("Spieltage!$H"&amp;'i2'!EZ14)</f>
        <v>0</v>
      </c>
      <c r="FD14" t="str">
        <f t="shared" si="113"/>
        <v>H</v>
      </c>
      <c r="FE14">
        <f t="shared" si="114"/>
        <v>1</v>
      </c>
      <c r="FF14" t="b">
        <f t="shared" ca="1" si="115"/>
        <v>0</v>
      </c>
      <c r="FG14" t="b">
        <f t="shared" ca="1" si="116"/>
        <v>1</v>
      </c>
      <c r="FH14" t="b">
        <f t="shared" ca="1" si="117"/>
        <v>0</v>
      </c>
      <c r="FI14">
        <f t="shared" si="118"/>
        <v>0</v>
      </c>
      <c r="FJ14">
        <f t="shared" si="119"/>
        <v>0</v>
      </c>
      <c r="FK14">
        <f t="shared" si="120"/>
        <v>0</v>
      </c>
      <c r="FL14">
        <f t="shared" ca="1" si="121"/>
        <v>0</v>
      </c>
      <c r="FM14">
        <f t="shared" ca="1" si="122"/>
        <v>0</v>
      </c>
      <c r="FN14">
        <f t="shared" ca="1" si="123"/>
        <v>1</v>
      </c>
      <c r="FO14" t="b">
        <f t="shared" si="124"/>
        <v>0</v>
      </c>
      <c r="FP14" s="6" t="b">
        <f t="shared" si="125"/>
        <v>0</v>
      </c>
      <c r="FQ14">
        <f>MATCH(FQ$2,Spieltage!$C$153:$C$161,0)+152</f>
        <v>161</v>
      </c>
      <c r="FR14" t="e">
        <f>MATCH(FQ$2,Spieltage!$E$153:$E$161,0)+152</f>
        <v>#N/A</v>
      </c>
      <c r="FS14">
        <f t="shared" si="126"/>
        <v>161</v>
      </c>
      <c r="FT14">
        <f ca="1">INDIRECT("Spieltage!$F"&amp;'i2'!FS14)</f>
        <v>0</v>
      </c>
      <c r="FU14" s="35" t="s">
        <v>12</v>
      </c>
      <c r="FV14" s="97">
        <f ca="1">INDIRECT("Spieltage!$H"&amp;'i2'!FS14)</f>
        <v>0</v>
      </c>
      <c r="FW14" t="str">
        <f t="shared" si="127"/>
        <v>H</v>
      </c>
      <c r="FX14">
        <f t="shared" si="128"/>
        <v>1</v>
      </c>
      <c r="FY14" t="b">
        <f t="shared" ca="1" si="129"/>
        <v>0</v>
      </c>
      <c r="FZ14" t="b">
        <f t="shared" ca="1" si="130"/>
        <v>1</v>
      </c>
      <c r="GA14" t="b">
        <f t="shared" ca="1" si="131"/>
        <v>0</v>
      </c>
      <c r="GB14">
        <f t="shared" si="132"/>
        <v>0</v>
      </c>
      <c r="GC14">
        <f t="shared" si="133"/>
        <v>0</v>
      </c>
      <c r="GD14">
        <f t="shared" si="134"/>
        <v>0</v>
      </c>
      <c r="GE14">
        <f t="shared" ca="1" si="135"/>
        <v>0</v>
      </c>
      <c r="GF14">
        <f t="shared" ca="1" si="136"/>
        <v>0</v>
      </c>
      <c r="GG14">
        <f t="shared" ca="1" si="137"/>
        <v>1</v>
      </c>
      <c r="GH14" t="b">
        <f t="shared" si="138"/>
        <v>0</v>
      </c>
      <c r="GI14" s="6" t="b">
        <f t="shared" si="139"/>
        <v>0</v>
      </c>
      <c r="GJ14" t="e">
        <f>MATCH(GJ$2,Spieltage!$C$153:$C$161,0)+152</f>
        <v>#N/A</v>
      </c>
      <c r="GK14">
        <f>MATCH(GJ$2,Spieltage!$E$153:$E$161,0)+152</f>
        <v>160</v>
      </c>
      <c r="GL14">
        <f t="shared" si="140"/>
        <v>160</v>
      </c>
      <c r="GM14">
        <f ca="1">INDIRECT("Spieltage!$F"&amp;'i2'!GL14)</f>
        <v>0</v>
      </c>
      <c r="GN14" s="35" t="s">
        <v>12</v>
      </c>
      <c r="GO14" s="97">
        <f ca="1">INDIRECT("Spieltage!$H"&amp;'i2'!GL14)</f>
        <v>0</v>
      </c>
      <c r="GP14" t="str">
        <f t="shared" si="141"/>
        <v>A</v>
      </c>
      <c r="GQ14">
        <f t="shared" si="142"/>
        <v>2</v>
      </c>
      <c r="GR14">
        <f t="shared" si="143"/>
        <v>0</v>
      </c>
      <c r="GS14">
        <f t="shared" si="144"/>
        <v>0</v>
      </c>
      <c r="GT14">
        <f t="shared" si="145"/>
        <v>0</v>
      </c>
      <c r="GU14" t="b">
        <f t="shared" ca="1" si="146"/>
        <v>0</v>
      </c>
      <c r="GV14" t="b">
        <f t="shared" ca="1" si="147"/>
        <v>1</v>
      </c>
      <c r="GW14" t="b">
        <f t="shared" ca="1" si="148"/>
        <v>0</v>
      </c>
      <c r="GX14">
        <f t="shared" ca="1" si="149"/>
        <v>0</v>
      </c>
      <c r="GY14" t="b">
        <f t="shared" si="150"/>
        <v>0</v>
      </c>
      <c r="GZ14" t="b">
        <f t="shared" si="151"/>
        <v>0</v>
      </c>
      <c r="HA14">
        <f t="shared" ca="1" si="152"/>
        <v>0</v>
      </c>
      <c r="HB14" s="6">
        <f t="shared" ca="1" si="153"/>
        <v>1</v>
      </c>
      <c r="HC14" t="e">
        <f>MATCH(HC$2,Spieltage!$C$153:$C$161,0)+152</f>
        <v>#N/A</v>
      </c>
      <c r="HD14">
        <f>MATCH(HC$2,Spieltage!$E$153:$E$161,0)+152</f>
        <v>158</v>
      </c>
      <c r="HE14">
        <f t="shared" si="154"/>
        <v>158</v>
      </c>
      <c r="HF14">
        <f ca="1">INDIRECT("Spieltage!$F"&amp;'i2'!HE14)</f>
        <v>0</v>
      </c>
      <c r="HG14" s="35" t="s">
        <v>12</v>
      </c>
      <c r="HH14" s="97">
        <f ca="1">INDIRECT("Spieltage!$H"&amp;'i2'!HE14)</f>
        <v>0</v>
      </c>
      <c r="HI14" t="str">
        <f t="shared" si="155"/>
        <v>A</v>
      </c>
      <c r="HJ14">
        <f t="shared" si="156"/>
        <v>2</v>
      </c>
      <c r="HK14">
        <f t="shared" si="157"/>
        <v>0</v>
      </c>
      <c r="HL14">
        <f t="shared" si="158"/>
        <v>0</v>
      </c>
      <c r="HM14">
        <f t="shared" si="159"/>
        <v>0</v>
      </c>
      <c r="HN14" t="b">
        <f t="shared" ca="1" si="160"/>
        <v>0</v>
      </c>
      <c r="HO14" t="b">
        <f t="shared" ca="1" si="161"/>
        <v>1</v>
      </c>
      <c r="HP14" t="b">
        <f t="shared" ca="1" si="162"/>
        <v>0</v>
      </c>
      <c r="HQ14">
        <f t="shared" ca="1" si="163"/>
        <v>0</v>
      </c>
      <c r="HR14" t="b">
        <f t="shared" si="164"/>
        <v>0</v>
      </c>
      <c r="HS14" t="b">
        <f t="shared" si="165"/>
        <v>0</v>
      </c>
      <c r="HT14">
        <f t="shared" ca="1" si="166"/>
        <v>0</v>
      </c>
      <c r="HU14" s="6">
        <f t="shared" ca="1" si="167"/>
        <v>1</v>
      </c>
      <c r="HV14" t="e">
        <f>MATCH(HV$2,Spieltage!$C$153:$C$161,0)+152</f>
        <v>#N/A</v>
      </c>
      <c r="HW14">
        <f>MATCH(HV$2,Spieltage!$E$153:$E$161,0)+152</f>
        <v>159</v>
      </c>
      <c r="HX14">
        <f t="shared" si="168"/>
        <v>159</v>
      </c>
      <c r="HY14">
        <f ca="1">INDIRECT("Spieltage!$F"&amp;'i2'!HX14)</f>
        <v>0</v>
      </c>
      <c r="HZ14" s="35" t="s">
        <v>12</v>
      </c>
      <c r="IA14" s="97">
        <f ca="1">INDIRECT("Spieltage!$H"&amp;'i2'!HX14)</f>
        <v>0</v>
      </c>
      <c r="IB14" t="str">
        <f t="shared" si="169"/>
        <v>A</v>
      </c>
      <c r="IC14">
        <f t="shared" si="170"/>
        <v>2</v>
      </c>
      <c r="ID14">
        <f t="shared" si="171"/>
        <v>0</v>
      </c>
      <c r="IE14">
        <f t="shared" si="172"/>
        <v>0</v>
      </c>
      <c r="IF14">
        <f t="shared" si="173"/>
        <v>0</v>
      </c>
      <c r="IG14" t="b">
        <f t="shared" ca="1" si="174"/>
        <v>0</v>
      </c>
      <c r="IH14" t="b">
        <f t="shared" ca="1" si="175"/>
        <v>1</v>
      </c>
      <c r="II14" t="b">
        <f t="shared" ca="1" si="176"/>
        <v>0</v>
      </c>
      <c r="IJ14">
        <f t="shared" ca="1" si="177"/>
        <v>0</v>
      </c>
      <c r="IK14" t="b">
        <f t="shared" si="178"/>
        <v>0</v>
      </c>
      <c r="IL14" t="b">
        <f t="shared" si="179"/>
        <v>0</v>
      </c>
      <c r="IM14">
        <f t="shared" ca="1" si="180"/>
        <v>0</v>
      </c>
      <c r="IN14" s="6">
        <f t="shared" ca="1" si="181"/>
        <v>1</v>
      </c>
      <c r="IO14" t="e">
        <f>MATCH(IO$2,Spieltage!$C$153:$C$161,0)+152</f>
        <v>#N/A</v>
      </c>
      <c r="IP14">
        <f>MATCH(IO$2,Spieltage!$E$153:$E$161,0)+152</f>
        <v>154</v>
      </c>
      <c r="IQ14">
        <f t="shared" si="182"/>
        <v>154</v>
      </c>
      <c r="IR14">
        <f ca="1">INDIRECT("Spieltage!$F"&amp;'i2'!IQ14)</f>
        <v>0</v>
      </c>
      <c r="IS14" s="35" t="s">
        <v>12</v>
      </c>
      <c r="IT14" s="97">
        <f ca="1">INDIRECT("Spieltage!$H"&amp;'i2'!IQ14)</f>
        <v>0</v>
      </c>
      <c r="IU14" t="str">
        <f t="shared" si="183"/>
        <v>A</v>
      </c>
      <c r="IV14">
        <f t="shared" si="184"/>
        <v>2</v>
      </c>
      <c r="IW14">
        <f t="shared" si="185"/>
        <v>0</v>
      </c>
      <c r="IX14">
        <f t="shared" si="186"/>
        <v>0</v>
      </c>
      <c r="IY14">
        <f t="shared" si="187"/>
        <v>0</v>
      </c>
      <c r="IZ14" t="b">
        <f t="shared" ca="1" si="188"/>
        <v>0</v>
      </c>
      <c r="JA14" t="b">
        <f t="shared" ca="1" si="189"/>
        <v>1</v>
      </c>
      <c r="JB14" t="b">
        <f t="shared" ca="1" si="190"/>
        <v>0</v>
      </c>
      <c r="JC14">
        <f t="shared" ca="1" si="191"/>
        <v>0</v>
      </c>
      <c r="JD14" t="b">
        <f t="shared" si="192"/>
        <v>0</v>
      </c>
      <c r="JE14" t="b">
        <f t="shared" si="193"/>
        <v>0</v>
      </c>
      <c r="JF14">
        <f t="shared" ca="1" si="194"/>
        <v>0</v>
      </c>
      <c r="JG14" s="6">
        <f t="shared" ca="1" si="195"/>
        <v>1</v>
      </c>
      <c r="JH14">
        <f>MATCH(JH$2,Spieltage!$C$153:$C$161,0)+152</f>
        <v>159</v>
      </c>
      <c r="JI14" t="e">
        <f>MATCH(JH$2,Spieltage!$E$153:$E$161,0)+152</f>
        <v>#N/A</v>
      </c>
      <c r="JJ14">
        <f t="shared" si="196"/>
        <v>159</v>
      </c>
      <c r="JK14">
        <f ca="1">INDIRECT("Spieltage!$F"&amp;'i2'!JJ14)</f>
        <v>0</v>
      </c>
      <c r="JL14" s="35" t="s">
        <v>12</v>
      </c>
      <c r="JM14" s="97">
        <f ca="1">INDIRECT("Spieltage!$H"&amp;'i2'!JJ14)</f>
        <v>0</v>
      </c>
      <c r="JN14" t="str">
        <f t="shared" si="197"/>
        <v>H</v>
      </c>
      <c r="JO14">
        <f t="shared" si="198"/>
        <v>1</v>
      </c>
      <c r="JP14" t="b">
        <f t="shared" ca="1" si="199"/>
        <v>0</v>
      </c>
      <c r="JQ14" t="b">
        <f t="shared" ca="1" si="200"/>
        <v>1</v>
      </c>
      <c r="JR14" t="b">
        <f t="shared" ca="1" si="201"/>
        <v>0</v>
      </c>
      <c r="JS14">
        <f t="shared" si="202"/>
        <v>0</v>
      </c>
      <c r="JT14">
        <f t="shared" si="203"/>
        <v>0</v>
      </c>
      <c r="JU14">
        <f t="shared" si="204"/>
        <v>0</v>
      </c>
      <c r="JV14">
        <f t="shared" ca="1" si="205"/>
        <v>0</v>
      </c>
      <c r="JW14">
        <f t="shared" ca="1" si="206"/>
        <v>0</v>
      </c>
      <c r="JX14">
        <f t="shared" ca="1" si="207"/>
        <v>1</v>
      </c>
      <c r="JY14" t="b">
        <f t="shared" si="208"/>
        <v>0</v>
      </c>
      <c r="JZ14" s="6" t="b">
        <f t="shared" si="209"/>
        <v>0</v>
      </c>
      <c r="KA14">
        <f>MATCH(KA$2,Spieltage!$C$153:$C$161,0)+152</f>
        <v>154</v>
      </c>
      <c r="KB14" t="e">
        <f>MATCH(KA$2,Spieltage!$E$153:$E$161,0)+152</f>
        <v>#N/A</v>
      </c>
      <c r="KC14">
        <f t="shared" si="210"/>
        <v>154</v>
      </c>
      <c r="KD14">
        <f ca="1">INDIRECT("Spieltage!$F"&amp;'i2'!KC14)</f>
        <v>0</v>
      </c>
      <c r="KE14" s="35" t="s">
        <v>12</v>
      </c>
      <c r="KF14" s="97">
        <f ca="1">INDIRECT("Spieltage!$H"&amp;'i2'!KC14)</f>
        <v>0</v>
      </c>
      <c r="KG14" t="str">
        <f t="shared" si="211"/>
        <v>H</v>
      </c>
      <c r="KH14">
        <f t="shared" si="212"/>
        <v>1</v>
      </c>
      <c r="KI14" t="b">
        <f t="shared" ca="1" si="213"/>
        <v>0</v>
      </c>
      <c r="KJ14" t="b">
        <f t="shared" ca="1" si="214"/>
        <v>1</v>
      </c>
      <c r="KK14" t="b">
        <f t="shared" ca="1" si="215"/>
        <v>0</v>
      </c>
      <c r="KL14">
        <f t="shared" si="216"/>
        <v>0</v>
      </c>
      <c r="KM14">
        <f t="shared" si="217"/>
        <v>0</v>
      </c>
      <c r="KN14">
        <f t="shared" si="218"/>
        <v>0</v>
      </c>
      <c r="KO14">
        <f t="shared" ca="1" si="219"/>
        <v>0</v>
      </c>
      <c r="KP14">
        <f t="shared" ca="1" si="220"/>
        <v>0</v>
      </c>
      <c r="KQ14">
        <f t="shared" ca="1" si="221"/>
        <v>1</v>
      </c>
      <c r="KR14" t="b">
        <f t="shared" si="222"/>
        <v>0</v>
      </c>
      <c r="KS14" s="6" t="b">
        <f t="shared" si="223"/>
        <v>0</v>
      </c>
      <c r="KT14">
        <f>MATCH(KT$2,Spieltage!$C$153:$C$161,0)+152</f>
        <v>160</v>
      </c>
      <c r="KU14" t="e">
        <f>MATCH(KT$2,Spieltage!$E$153:$E$161,0)+152</f>
        <v>#N/A</v>
      </c>
      <c r="KV14">
        <f t="shared" si="224"/>
        <v>160</v>
      </c>
      <c r="KW14">
        <f ca="1">INDIRECT("Spieltage!$F"&amp;'i2'!KV14)</f>
        <v>0</v>
      </c>
      <c r="KX14" s="35" t="s">
        <v>12</v>
      </c>
      <c r="KY14" s="97">
        <f ca="1">INDIRECT("Spieltage!$H"&amp;'i2'!KV14)</f>
        <v>0</v>
      </c>
      <c r="KZ14" t="str">
        <f t="shared" si="225"/>
        <v>H</v>
      </c>
      <c r="LA14">
        <f t="shared" si="226"/>
        <v>1</v>
      </c>
      <c r="LB14" t="b">
        <f t="shared" ca="1" si="227"/>
        <v>0</v>
      </c>
      <c r="LC14" t="b">
        <f t="shared" ca="1" si="228"/>
        <v>1</v>
      </c>
      <c r="LD14" t="b">
        <f t="shared" ca="1" si="229"/>
        <v>0</v>
      </c>
      <c r="LE14">
        <f t="shared" si="230"/>
        <v>0</v>
      </c>
      <c r="LF14">
        <f t="shared" si="231"/>
        <v>0</v>
      </c>
      <c r="LG14">
        <f t="shared" si="232"/>
        <v>0</v>
      </c>
      <c r="LH14">
        <f t="shared" ca="1" si="233"/>
        <v>0</v>
      </c>
      <c r="LI14">
        <f t="shared" ca="1" si="234"/>
        <v>0</v>
      </c>
      <c r="LJ14">
        <f t="shared" ca="1" si="235"/>
        <v>1</v>
      </c>
      <c r="LK14" t="b">
        <f t="shared" si="236"/>
        <v>0</v>
      </c>
      <c r="LL14" s="6" t="b">
        <f t="shared" si="237"/>
        <v>0</v>
      </c>
      <c r="LM14">
        <f>MATCH(LM$2,Spieltage!$C$153:$C$161,0)+152</f>
        <v>157</v>
      </c>
      <c r="LN14" t="e">
        <f>MATCH(LM$2,Spieltage!$E$153:$E$161,0)+152</f>
        <v>#N/A</v>
      </c>
      <c r="LO14">
        <f t="shared" si="238"/>
        <v>157</v>
      </c>
      <c r="LP14">
        <f ca="1">INDIRECT("Spieltage!$F"&amp;'i2'!LO14)</f>
        <v>0</v>
      </c>
      <c r="LQ14" s="35" t="s">
        <v>12</v>
      </c>
      <c r="LR14" s="97">
        <f ca="1">INDIRECT("Spieltage!$H"&amp;'i2'!LO14)</f>
        <v>0</v>
      </c>
      <c r="LS14" t="str">
        <f t="shared" si="239"/>
        <v>H</v>
      </c>
      <c r="LT14">
        <f t="shared" si="240"/>
        <v>1</v>
      </c>
      <c r="LU14" t="b">
        <f t="shared" ca="1" si="241"/>
        <v>0</v>
      </c>
      <c r="LV14" t="b">
        <f t="shared" ca="1" si="242"/>
        <v>1</v>
      </c>
      <c r="LW14" t="b">
        <f t="shared" ca="1" si="243"/>
        <v>0</v>
      </c>
      <c r="LX14">
        <f t="shared" si="244"/>
        <v>0</v>
      </c>
      <c r="LY14">
        <f t="shared" si="245"/>
        <v>0</v>
      </c>
      <c r="LZ14">
        <f t="shared" si="246"/>
        <v>0</v>
      </c>
      <c r="MA14">
        <f t="shared" ca="1" si="247"/>
        <v>0</v>
      </c>
      <c r="MB14">
        <f t="shared" ca="1" si="248"/>
        <v>0</v>
      </c>
      <c r="MC14">
        <f t="shared" ca="1" si="249"/>
        <v>1</v>
      </c>
      <c r="MD14" t="b">
        <f t="shared" si="250"/>
        <v>0</v>
      </c>
      <c r="ME14" s="6" t="b">
        <f t="shared" si="251"/>
        <v>0</v>
      </c>
    </row>
    <row r="15" spans="1:343" x14ac:dyDescent="0.2">
      <c r="A15" s="104" t="s">
        <v>223</v>
      </c>
      <c r="B15">
        <f>MATCH(B$2,Spieltage!$C$168:$C$176,0)+167</f>
        <v>168</v>
      </c>
      <c r="C15" t="e">
        <f>MATCH(B$2,Spieltage!$E$168:$E$176,0)+167</f>
        <v>#N/A</v>
      </c>
      <c r="D15">
        <f t="shared" si="0"/>
        <v>168</v>
      </c>
      <c r="E15">
        <f ca="1">INDIRECT("Spieltage!$F"&amp;'i2'!D15)</f>
        <v>0</v>
      </c>
      <c r="F15" s="35" t="s">
        <v>12</v>
      </c>
      <c r="G15" s="97">
        <f ca="1">INDIRECT("Spieltage!$H"&amp;'i2'!D15)</f>
        <v>0</v>
      </c>
      <c r="H15" t="str">
        <f t="shared" si="1"/>
        <v>H</v>
      </c>
      <c r="I15">
        <f t="shared" si="2"/>
        <v>1</v>
      </c>
      <c r="J15" t="b">
        <f t="shared" ca="1" si="3"/>
        <v>0</v>
      </c>
      <c r="K15" t="b">
        <f t="shared" ca="1" si="4"/>
        <v>1</v>
      </c>
      <c r="L15" t="b">
        <f t="shared" ca="1" si="5"/>
        <v>0</v>
      </c>
      <c r="M15">
        <f t="shared" si="6"/>
        <v>0</v>
      </c>
      <c r="N15">
        <f t="shared" si="7"/>
        <v>0</v>
      </c>
      <c r="O15">
        <f t="shared" si="8"/>
        <v>0</v>
      </c>
      <c r="P15">
        <f t="shared" ca="1" si="9"/>
        <v>0</v>
      </c>
      <c r="Q15">
        <f t="shared" ca="1" si="10"/>
        <v>0</v>
      </c>
      <c r="R15">
        <f t="shared" ca="1" si="11"/>
        <v>1</v>
      </c>
      <c r="S15" t="b">
        <f t="shared" si="12"/>
        <v>0</v>
      </c>
      <c r="T15" s="6" t="b">
        <f t="shared" si="13"/>
        <v>0</v>
      </c>
      <c r="U15" t="e">
        <f>MATCH(U$2,Spieltage!$C$168:$C$176,0)+167</f>
        <v>#N/A</v>
      </c>
      <c r="V15">
        <f>MATCH(U$2,Spieltage!$E$168:$E$176,0)+167</f>
        <v>173</v>
      </c>
      <c r="W15">
        <f t="shared" si="14"/>
        <v>173</v>
      </c>
      <c r="X15">
        <f ca="1">INDIRECT("Spieltage!$F"&amp;'i2'!W15)</f>
        <v>0</v>
      </c>
      <c r="Y15" s="35" t="s">
        <v>12</v>
      </c>
      <c r="Z15" s="97">
        <f ca="1">INDIRECT("Spieltage!$H"&amp;'i2'!W15)</f>
        <v>0</v>
      </c>
      <c r="AA15" t="str">
        <f t="shared" si="15"/>
        <v>A</v>
      </c>
      <c r="AB15">
        <f t="shared" si="16"/>
        <v>2</v>
      </c>
      <c r="AC15">
        <f t="shared" si="17"/>
        <v>0</v>
      </c>
      <c r="AD15">
        <f t="shared" si="18"/>
        <v>0</v>
      </c>
      <c r="AE15">
        <f t="shared" si="19"/>
        <v>0</v>
      </c>
      <c r="AF15" t="b">
        <f t="shared" ca="1" si="20"/>
        <v>0</v>
      </c>
      <c r="AG15" t="b">
        <f t="shared" ca="1" si="21"/>
        <v>1</v>
      </c>
      <c r="AH15" t="b">
        <f t="shared" ca="1" si="22"/>
        <v>0</v>
      </c>
      <c r="AI15">
        <f t="shared" ca="1" si="23"/>
        <v>0</v>
      </c>
      <c r="AJ15" t="b">
        <f t="shared" si="24"/>
        <v>0</v>
      </c>
      <c r="AK15" t="b">
        <f t="shared" si="25"/>
        <v>0</v>
      </c>
      <c r="AL15">
        <f t="shared" ca="1" si="26"/>
        <v>0</v>
      </c>
      <c r="AM15" s="6">
        <f t="shared" ca="1" si="27"/>
        <v>1</v>
      </c>
      <c r="AN15">
        <f>MATCH(AN$2,Spieltage!$C$168:$C$176,0)+167</f>
        <v>169</v>
      </c>
      <c r="AO15" t="e">
        <f>MATCH(AN$2,Spieltage!$E$168:$E$176,0)+167</f>
        <v>#N/A</v>
      </c>
      <c r="AP15">
        <f t="shared" si="28"/>
        <v>169</v>
      </c>
      <c r="AQ15">
        <f ca="1">INDIRECT("Spieltage!$F"&amp;'i2'!AP15)</f>
        <v>0</v>
      </c>
      <c r="AR15" s="35" t="s">
        <v>12</v>
      </c>
      <c r="AS15" s="97">
        <f ca="1">INDIRECT("Spieltage!$H"&amp;'i2'!AP15)</f>
        <v>0</v>
      </c>
      <c r="AT15" t="str">
        <f t="shared" si="29"/>
        <v>H</v>
      </c>
      <c r="AU15">
        <f t="shared" si="30"/>
        <v>1</v>
      </c>
      <c r="AV15" t="b">
        <f t="shared" ca="1" si="31"/>
        <v>0</v>
      </c>
      <c r="AW15" t="b">
        <f t="shared" ca="1" si="32"/>
        <v>1</v>
      </c>
      <c r="AX15" t="b">
        <f t="shared" ca="1" si="33"/>
        <v>0</v>
      </c>
      <c r="AY15">
        <f t="shared" si="34"/>
        <v>0</v>
      </c>
      <c r="AZ15">
        <f t="shared" si="35"/>
        <v>0</v>
      </c>
      <c r="BA15">
        <f t="shared" si="36"/>
        <v>0</v>
      </c>
      <c r="BB15">
        <f t="shared" ca="1" si="37"/>
        <v>0</v>
      </c>
      <c r="BC15">
        <f t="shared" ca="1" si="38"/>
        <v>0</v>
      </c>
      <c r="BD15">
        <f t="shared" ca="1" si="39"/>
        <v>1</v>
      </c>
      <c r="BE15" t="b">
        <f t="shared" si="40"/>
        <v>0</v>
      </c>
      <c r="BF15" s="6" t="b">
        <f t="shared" si="41"/>
        <v>0</v>
      </c>
      <c r="BG15">
        <f>MATCH(BG$2,Spieltage!$C$168:$C$176,0)+167</f>
        <v>175</v>
      </c>
      <c r="BH15" t="e">
        <f>MATCH(BG$2,Spieltage!$E$168:$E$176,0)+167</f>
        <v>#N/A</v>
      </c>
      <c r="BI15">
        <f t="shared" si="42"/>
        <v>175</v>
      </c>
      <c r="BJ15">
        <f ca="1">INDIRECT("Spieltage!$F"&amp;'i2'!BI15)</f>
        <v>0</v>
      </c>
      <c r="BK15" s="35" t="s">
        <v>12</v>
      </c>
      <c r="BL15" s="97">
        <f ca="1">INDIRECT("Spieltage!$H"&amp;'i2'!BI15)</f>
        <v>0</v>
      </c>
      <c r="BM15" t="str">
        <f t="shared" si="43"/>
        <v>H</v>
      </c>
      <c r="BN15">
        <f t="shared" si="44"/>
        <v>1</v>
      </c>
      <c r="BO15" t="b">
        <f t="shared" ca="1" si="45"/>
        <v>0</v>
      </c>
      <c r="BP15" t="b">
        <f t="shared" ca="1" si="46"/>
        <v>1</v>
      </c>
      <c r="BQ15" t="b">
        <f t="shared" ca="1" si="47"/>
        <v>0</v>
      </c>
      <c r="BR15">
        <f t="shared" si="48"/>
        <v>0</v>
      </c>
      <c r="BS15">
        <f t="shared" si="49"/>
        <v>0</v>
      </c>
      <c r="BT15">
        <f t="shared" si="50"/>
        <v>0</v>
      </c>
      <c r="BU15">
        <f t="shared" ca="1" si="51"/>
        <v>0</v>
      </c>
      <c r="BV15">
        <f t="shared" ca="1" si="52"/>
        <v>0</v>
      </c>
      <c r="BW15">
        <f t="shared" ca="1" si="53"/>
        <v>1</v>
      </c>
      <c r="BX15" t="b">
        <f t="shared" si="54"/>
        <v>0</v>
      </c>
      <c r="BY15" s="6" t="b">
        <f t="shared" si="55"/>
        <v>0</v>
      </c>
      <c r="BZ15">
        <f>MATCH(BZ$2,Spieltage!$C$168:$C$176,0)+167</f>
        <v>170</v>
      </c>
      <c r="CA15" t="e">
        <f>MATCH(BZ$2,Spieltage!$E$168:$E$176,0)+167</f>
        <v>#N/A</v>
      </c>
      <c r="CB15">
        <f t="shared" si="56"/>
        <v>170</v>
      </c>
      <c r="CC15">
        <f ca="1">INDIRECT("Spieltage!$F"&amp;'i2'!CB15)</f>
        <v>0</v>
      </c>
      <c r="CD15" s="35" t="s">
        <v>12</v>
      </c>
      <c r="CE15" s="97">
        <f ca="1">INDIRECT("Spieltage!$H"&amp;'i2'!CB15)</f>
        <v>0</v>
      </c>
      <c r="CF15" t="str">
        <f t="shared" si="57"/>
        <v>H</v>
      </c>
      <c r="CG15">
        <f t="shared" si="58"/>
        <v>1</v>
      </c>
      <c r="CH15" t="b">
        <f t="shared" ca="1" si="59"/>
        <v>0</v>
      </c>
      <c r="CI15" t="b">
        <f t="shared" ca="1" si="60"/>
        <v>1</v>
      </c>
      <c r="CJ15" t="b">
        <f t="shared" ca="1" si="61"/>
        <v>0</v>
      </c>
      <c r="CK15">
        <f t="shared" si="62"/>
        <v>0</v>
      </c>
      <c r="CL15">
        <f t="shared" si="63"/>
        <v>0</v>
      </c>
      <c r="CM15">
        <f t="shared" si="64"/>
        <v>0</v>
      </c>
      <c r="CN15">
        <f t="shared" ca="1" si="65"/>
        <v>0</v>
      </c>
      <c r="CO15">
        <f t="shared" ca="1" si="66"/>
        <v>0</v>
      </c>
      <c r="CP15">
        <f t="shared" ca="1" si="67"/>
        <v>1</v>
      </c>
      <c r="CQ15" t="b">
        <f t="shared" si="68"/>
        <v>0</v>
      </c>
      <c r="CR15" s="6" t="b">
        <f t="shared" si="69"/>
        <v>0</v>
      </c>
      <c r="CS15">
        <f>MATCH(CS$2,Spieltage!$C$168:$C$176,0)+167</f>
        <v>172</v>
      </c>
      <c r="CT15" t="e">
        <f>MATCH(CS$2,Spieltage!$E$168:$E$176,0)+167</f>
        <v>#N/A</v>
      </c>
      <c r="CU15">
        <f t="shared" si="70"/>
        <v>172</v>
      </c>
      <c r="CV15">
        <f ca="1">INDIRECT("Spieltage!$F"&amp;'i2'!CU15)</f>
        <v>0</v>
      </c>
      <c r="CW15" s="35" t="s">
        <v>12</v>
      </c>
      <c r="CX15" s="97">
        <f ca="1">INDIRECT("Spieltage!$H"&amp;'i2'!CU15)</f>
        <v>0</v>
      </c>
      <c r="CY15" t="str">
        <f t="shared" si="71"/>
        <v>H</v>
      </c>
      <c r="CZ15">
        <f t="shared" si="72"/>
        <v>1</v>
      </c>
      <c r="DA15" t="b">
        <f t="shared" ca="1" si="73"/>
        <v>0</v>
      </c>
      <c r="DB15" t="b">
        <f t="shared" ca="1" si="74"/>
        <v>1</v>
      </c>
      <c r="DC15" t="b">
        <f t="shared" ca="1" si="75"/>
        <v>0</v>
      </c>
      <c r="DD15">
        <f t="shared" si="76"/>
        <v>0</v>
      </c>
      <c r="DE15">
        <f t="shared" si="77"/>
        <v>0</v>
      </c>
      <c r="DF15">
        <f t="shared" si="78"/>
        <v>0</v>
      </c>
      <c r="DG15">
        <f t="shared" ca="1" si="79"/>
        <v>0</v>
      </c>
      <c r="DH15">
        <f t="shared" ca="1" si="80"/>
        <v>0</v>
      </c>
      <c r="DI15">
        <f t="shared" ca="1" si="81"/>
        <v>1</v>
      </c>
      <c r="DJ15" t="b">
        <f t="shared" si="82"/>
        <v>0</v>
      </c>
      <c r="DK15" s="6" t="b">
        <f t="shared" si="83"/>
        <v>0</v>
      </c>
      <c r="DL15">
        <f>MATCH(DL$2,Spieltage!$C$168:$C$176,0)+167</f>
        <v>171</v>
      </c>
      <c r="DM15" t="e">
        <f>MATCH(DL$2,Spieltage!$E$168:$E$176,0)+167</f>
        <v>#N/A</v>
      </c>
      <c r="DN15">
        <f t="shared" si="84"/>
        <v>171</v>
      </c>
      <c r="DO15">
        <f ca="1">INDIRECT("Spieltage!$F"&amp;'i2'!DN15)</f>
        <v>0</v>
      </c>
      <c r="DP15" s="35" t="s">
        <v>12</v>
      </c>
      <c r="DQ15" s="97">
        <f ca="1">INDIRECT("Spieltage!$H"&amp;'i2'!DN15)</f>
        <v>0</v>
      </c>
      <c r="DR15" t="str">
        <f t="shared" si="85"/>
        <v>H</v>
      </c>
      <c r="DS15">
        <f t="shared" si="86"/>
        <v>1</v>
      </c>
      <c r="DT15" t="b">
        <f t="shared" ca="1" si="87"/>
        <v>0</v>
      </c>
      <c r="DU15" t="b">
        <f t="shared" ca="1" si="88"/>
        <v>1</v>
      </c>
      <c r="DV15" t="b">
        <f t="shared" ca="1" si="89"/>
        <v>0</v>
      </c>
      <c r="DW15">
        <f t="shared" si="90"/>
        <v>0</v>
      </c>
      <c r="DX15">
        <f t="shared" si="91"/>
        <v>0</v>
      </c>
      <c r="DY15">
        <f t="shared" si="92"/>
        <v>0</v>
      </c>
      <c r="DZ15">
        <f t="shared" ca="1" si="93"/>
        <v>0</v>
      </c>
      <c r="EA15">
        <f t="shared" ca="1" si="94"/>
        <v>0</v>
      </c>
      <c r="EB15">
        <f t="shared" ca="1" si="95"/>
        <v>1</v>
      </c>
      <c r="EC15" t="b">
        <f t="shared" si="96"/>
        <v>0</v>
      </c>
      <c r="ED15" s="6" t="b">
        <f t="shared" si="97"/>
        <v>0</v>
      </c>
      <c r="EE15" t="e">
        <f>MATCH(EE$2,Spieltage!$C$168:$C$176,0)+167</f>
        <v>#N/A</v>
      </c>
      <c r="EF15">
        <f>MATCH(EE$2,Spieltage!$E$168:$E$176,0)+167</f>
        <v>175</v>
      </c>
      <c r="EG15">
        <f t="shared" si="98"/>
        <v>175</v>
      </c>
      <c r="EH15">
        <f ca="1">INDIRECT("Spieltage!$F"&amp;'i2'!EG15)</f>
        <v>0</v>
      </c>
      <c r="EI15" s="35" t="s">
        <v>12</v>
      </c>
      <c r="EJ15" s="97">
        <f ca="1">INDIRECT("Spieltage!$H"&amp;'i2'!EG15)</f>
        <v>0</v>
      </c>
      <c r="EK15" t="str">
        <f t="shared" si="99"/>
        <v>A</v>
      </c>
      <c r="EL15">
        <f t="shared" si="100"/>
        <v>2</v>
      </c>
      <c r="EM15">
        <f t="shared" si="101"/>
        <v>0</v>
      </c>
      <c r="EN15">
        <f t="shared" si="102"/>
        <v>0</v>
      </c>
      <c r="EO15">
        <f t="shared" si="103"/>
        <v>0</v>
      </c>
      <c r="EP15" t="b">
        <f t="shared" ca="1" si="104"/>
        <v>0</v>
      </c>
      <c r="EQ15" t="b">
        <f t="shared" ca="1" si="105"/>
        <v>1</v>
      </c>
      <c r="ER15" t="b">
        <f t="shared" ca="1" si="106"/>
        <v>0</v>
      </c>
      <c r="ES15">
        <f t="shared" ca="1" si="107"/>
        <v>0</v>
      </c>
      <c r="ET15" t="b">
        <f t="shared" si="108"/>
        <v>0</v>
      </c>
      <c r="EU15" t="b">
        <f t="shared" si="109"/>
        <v>0</v>
      </c>
      <c r="EV15">
        <f t="shared" ca="1" si="110"/>
        <v>0</v>
      </c>
      <c r="EW15" s="6">
        <f t="shared" ca="1" si="111"/>
        <v>1</v>
      </c>
      <c r="EX15" t="e">
        <f>MATCH(EX$2,Spieltage!$C$168:$C$176,0)+167</f>
        <v>#N/A</v>
      </c>
      <c r="EY15">
        <f>MATCH(EX$2,Spieltage!$E$168:$E$176,0)+167</f>
        <v>171</v>
      </c>
      <c r="EZ15">
        <f t="shared" si="112"/>
        <v>171</v>
      </c>
      <c r="FA15">
        <f ca="1">INDIRECT("Spieltage!$F"&amp;'i2'!EZ15)</f>
        <v>0</v>
      </c>
      <c r="FB15" s="35" t="s">
        <v>12</v>
      </c>
      <c r="FC15" s="97">
        <f ca="1">INDIRECT("Spieltage!$H"&amp;'i2'!EZ15)</f>
        <v>0</v>
      </c>
      <c r="FD15" t="str">
        <f t="shared" si="113"/>
        <v>A</v>
      </c>
      <c r="FE15">
        <f t="shared" si="114"/>
        <v>2</v>
      </c>
      <c r="FF15">
        <f t="shared" si="115"/>
        <v>0</v>
      </c>
      <c r="FG15">
        <f t="shared" si="116"/>
        <v>0</v>
      </c>
      <c r="FH15">
        <f t="shared" si="117"/>
        <v>0</v>
      </c>
      <c r="FI15" t="b">
        <f t="shared" ca="1" si="118"/>
        <v>0</v>
      </c>
      <c r="FJ15" t="b">
        <f t="shared" ca="1" si="119"/>
        <v>1</v>
      </c>
      <c r="FK15" t="b">
        <f t="shared" ca="1" si="120"/>
        <v>0</v>
      </c>
      <c r="FL15">
        <f t="shared" ca="1" si="121"/>
        <v>0</v>
      </c>
      <c r="FM15" t="b">
        <f t="shared" si="122"/>
        <v>0</v>
      </c>
      <c r="FN15" t="b">
        <f t="shared" si="123"/>
        <v>0</v>
      </c>
      <c r="FO15">
        <f t="shared" ca="1" si="124"/>
        <v>0</v>
      </c>
      <c r="FP15" s="6">
        <f t="shared" ca="1" si="125"/>
        <v>1</v>
      </c>
      <c r="FQ15" t="e">
        <f>MATCH(FQ$2,Spieltage!$C$168:$C$176,0)+167</f>
        <v>#N/A</v>
      </c>
      <c r="FR15">
        <f>MATCH(FQ$2,Spieltage!$E$168:$E$176,0)+167</f>
        <v>172</v>
      </c>
      <c r="FS15">
        <f t="shared" si="126"/>
        <v>172</v>
      </c>
      <c r="FT15">
        <f ca="1">INDIRECT("Spieltage!$F"&amp;'i2'!FS15)</f>
        <v>0</v>
      </c>
      <c r="FU15" s="35" t="s">
        <v>12</v>
      </c>
      <c r="FV15" s="97">
        <f ca="1">INDIRECT("Spieltage!$H"&amp;'i2'!FS15)</f>
        <v>0</v>
      </c>
      <c r="FW15" t="str">
        <f t="shared" si="127"/>
        <v>A</v>
      </c>
      <c r="FX15">
        <f t="shared" si="128"/>
        <v>2</v>
      </c>
      <c r="FY15">
        <f t="shared" si="129"/>
        <v>0</v>
      </c>
      <c r="FZ15">
        <f t="shared" si="130"/>
        <v>0</v>
      </c>
      <c r="GA15">
        <f t="shared" si="131"/>
        <v>0</v>
      </c>
      <c r="GB15" t="b">
        <f t="shared" ca="1" si="132"/>
        <v>0</v>
      </c>
      <c r="GC15" t="b">
        <f t="shared" ca="1" si="133"/>
        <v>1</v>
      </c>
      <c r="GD15" t="b">
        <f t="shared" ca="1" si="134"/>
        <v>0</v>
      </c>
      <c r="GE15">
        <f t="shared" ca="1" si="135"/>
        <v>0</v>
      </c>
      <c r="GF15" t="b">
        <f t="shared" si="136"/>
        <v>0</v>
      </c>
      <c r="GG15" t="b">
        <f t="shared" si="137"/>
        <v>0</v>
      </c>
      <c r="GH15">
        <f t="shared" ca="1" si="138"/>
        <v>0</v>
      </c>
      <c r="GI15" s="6">
        <f t="shared" ca="1" si="139"/>
        <v>1</v>
      </c>
      <c r="GJ15">
        <f>MATCH(GJ$2,Spieltage!$C$168:$C$176,0)+167</f>
        <v>173</v>
      </c>
      <c r="GK15" t="e">
        <f>MATCH(GJ$2,Spieltage!$E$168:$E$176,0)+167</f>
        <v>#N/A</v>
      </c>
      <c r="GL15">
        <f t="shared" si="140"/>
        <v>173</v>
      </c>
      <c r="GM15">
        <f ca="1">INDIRECT("Spieltage!$F"&amp;'i2'!GL15)</f>
        <v>0</v>
      </c>
      <c r="GN15" s="35" t="s">
        <v>12</v>
      </c>
      <c r="GO15" s="97">
        <f ca="1">INDIRECT("Spieltage!$H"&amp;'i2'!GL15)</f>
        <v>0</v>
      </c>
      <c r="GP15" t="str">
        <f t="shared" si="141"/>
        <v>H</v>
      </c>
      <c r="GQ15">
        <f t="shared" si="142"/>
        <v>1</v>
      </c>
      <c r="GR15" t="b">
        <f t="shared" ca="1" si="143"/>
        <v>0</v>
      </c>
      <c r="GS15" t="b">
        <f t="shared" ca="1" si="144"/>
        <v>1</v>
      </c>
      <c r="GT15" t="b">
        <f t="shared" ca="1" si="145"/>
        <v>0</v>
      </c>
      <c r="GU15">
        <f t="shared" si="146"/>
        <v>0</v>
      </c>
      <c r="GV15">
        <f t="shared" si="147"/>
        <v>0</v>
      </c>
      <c r="GW15">
        <f t="shared" si="148"/>
        <v>0</v>
      </c>
      <c r="GX15">
        <f t="shared" ca="1" si="149"/>
        <v>0</v>
      </c>
      <c r="GY15">
        <f t="shared" ca="1" si="150"/>
        <v>0</v>
      </c>
      <c r="GZ15">
        <f t="shared" ca="1" si="151"/>
        <v>1</v>
      </c>
      <c r="HA15" t="b">
        <f t="shared" si="152"/>
        <v>0</v>
      </c>
      <c r="HB15" s="6" t="b">
        <f t="shared" si="153"/>
        <v>0</v>
      </c>
      <c r="HC15">
        <f>MATCH(HC$2,Spieltage!$C$168:$C$176,0)+167</f>
        <v>176</v>
      </c>
      <c r="HD15" t="e">
        <f>MATCH(HC$2,Spieltage!$E$168:$E$176,0)+167</f>
        <v>#N/A</v>
      </c>
      <c r="HE15">
        <f t="shared" si="154"/>
        <v>176</v>
      </c>
      <c r="HF15">
        <f ca="1">INDIRECT("Spieltage!$F"&amp;'i2'!HE15)</f>
        <v>0</v>
      </c>
      <c r="HG15" s="35" t="s">
        <v>12</v>
      </c>
      <c r="HH15" s="97">
        <f ca="1">INDIRECT("Spieltage!$H"&amp;'i2'!HE15)</f>
        <v>0</v>
      </c>
      <c r="HI15" t="str">
        <f t="shared" si="155"/>
        <v>H</v>
      </c>
      <c r="HJ15">
        <f t="shared" si="156"/>
        <v>1</v>
      </c>
      <c r="HK15" t="b">
        <f t="shared" ca="1" si="157"/>
        <v>0</v>
      </c>
      <c r="HL15" t="b">
        <f t="shared" ca="1" si="158"/>
        <v>1</v>
      </c>
      <c r="HM15" t="b">
        <f t="shared" ca="1" si="159"/>
        <v>0</v>
      </c>
      <c r="HN15">
        <f t="shared" si="160"/>
        <v>0</v>
      </c>
      <c r="HO15">
        <f t="shared" si="161"/>
        <v>0</v>
      </c>
      <c r="HP15">
        <f t="shared" si="162"/>
        <v>0</v>
      </c>
      <c r="HQ15">
        <f t="shared" ca="1" si="163"/>
        <v>0</v>
      </c>
      <c r="HR15">
        <f t="shared" ca="1" si="164"/>
        <v>0</v>
      </c>
      <c r="HS15">
        <f t="shared" ca="1" si="165"/>
        <v>1</v>
      </c>
      <c r="HT15" t="b">
        <f t="shared" si="166"/>
        <v>0</v>
      </c>
      <c r="HU15" s="6" t="b">
        <f t="shared" si="167"/>
        <v>0</v>
      </c>
      <c r="HV15">
        <f>MATCH(HV$2,Spieltage!$C$168:$C$176,0)+167</f>
        <v>174</v>
      </c>
      <c r="HW15" t="e">
        <f>MATCH(HV$2,Spieltage!$E$168:$E$176,0)+167</f>
        <v>#N/A</v>
      </c>
      <c r="HX15">
        <f t="shared" si="168"/>
        <v>174</v>
      </c>
      <c r="HY15">
        <f ca="1">INDIRECT("Spieltage!$F"&amp;'i2'!HX15)</f>
        <v>0</v>
      </c>
      <c r="HZ15" s="35" t="s">
        <v>12</v>
      </c>
      <c r="IA15" s="97">
        <f ca="1">INDIRECT("Spieltage!$H"&amp;'i2'!HX15)</f>
        <v>0</v>
      </c>
      <c r="IB15" t="str">
        <f t="shared" si="169"/>
        <v>H</v>
      </c>
      <c r="IC15">
        <f t="shared" si="170"/>
        <v>1</v>
      </c>
      <c r="ID15" t="b">
        <f t="shared" ca="1" si="171"/>
        <v>0</v>
      </c>
      <c r="IE15" t="b">
        <f t="shared" ca="1" si="172"/>
        <v>1</v>
      </c>
      <c r="IF15" t="b">
        <f t="shared" ca="1" si="173"/>
        <v>0</v>
      </c>
      <c r="IG15">
        <f t="shared" si="174"/>
        <v>0</v>
      </c>
      <c r="IH15">
        <f t="shared" si="175"/>
        <v>0</v>
      </c>
      <c r="II15">
        <f t="shared" si="176"/>
        <v>0</v>
      </c>
      <c r="IJ15">
        <f t="shared" ca="1" si="177"/>
        <v>0</v>
      </c>
      <c r="IK15">
        <f t="shared" ca="1" si="178"/>
        <v>0</v>
      </c>
      <c r="IL15">
        <f t="shared" ca="1" si="179"/>
        <v>1</v>
      </c>
      <c r="IM15" t="b">
        <f t="shared" si="180"/>
        <v>0</v>
      </c>
      <c r="IN15" s="6" t="b">
        <f t="shared" si="181"/>
        <v>0</v>
      </c>
      <c r="IO15" t="e">
        <f>MATCH(IO$2,Spieltage!$C$168:$C$176,0)+167</f>
        <v>#N/A</v>
      </c>
      <c r="IP15">
        <f>MATCH(IO$2,Spieltage!$E$168:$E$176,0)+167</f>
        <v>176</v>
      </c>
      <c r="IQ15">
        <f t="shared" si="182"/>
        <v>176</v>
      </c>
      <c r="IR15">
        <f ca="1">INDIRECT("Spieltage!$F"&amp;'i2'!IQ15)</f>
        <v>0</v>
      </c>
      <c r="IS15" s="35" t="s">
        <v>12</v>
      </c>
      <c r="IT15" s="97">
        <f ca="1">INDIRECT("Spieltage!$H"&amp;'i2'!IQ15)</f>
        <v>0</v>
      </c>
      <c r="IU15" t="str">
        <f t="shared" si="183"/>
        <v>A</v>
      </c>
      <c r="IV15">
        <f t="shared" si="184"/>
        <v>2</v>
      </c>
      <c r="IW15">
        <f t="shared" si="185"/>
        <v>0</v>
      </c>
      <c r="IX15">
        <f t="shared" si="186"/>
        <v>0</v>
      </c>
      <c r="IY15">
        <f t="shared" si="187"/>
        <v>0</v>
      </c>
      <c r="IZ15" t="b">
        <f t="shared" ca="1" si="188"/>
        <v>0</v>
      </c>
      <c r="JA15" t="b">
        <f t="shared" ca="1" si="189"/>
        <v>1</v>
      </c>
      <c r="JB15" t="b">
        <f t="shared" ca="1" si="190"/>
        <v>0</v>
      </c>
      <c r="JC15">
        <f t="shared" ca="1" si="191"/>
        <v>0</v>
      </c>
      <c r="JD15" t="b">
        <f t="shared" si="192"/>
        <v>0</v>
      </c>
      <c r="JE15" t="b">
        <f t="shared" si="193"/>
        <v>0</v>
      </c>
      <c r="JF15">
        <f t="shared" ca="1" si="194"/>
        <v>0</v>
      </c>
      <c r="JG15" s="6">
        <f t="shared" ca="1" si="195"/>
        <v>1</v>
      </c>
      <c r="JH15" t="e">
        <f>MATCH(JH$2,Spieltage!$C$168:$C$176,0)+167</f>
        <v>#N/A</v>
      </c>
      <c r="JI15">
        <f>MATCH(JH$2,Spieltage!$E$168:$E$176,0)+167</f>
        <v>168</v>
      </c>
      <c r="JJ15">
        <f t="shared" si="196"/>
        <v>168</v>
      </c>
      <c r="JK15">
        <f ca="1">INDIRECT("Spieltage!$F"&amp;'i2'!JJ15)</f>
        <v>0</v>
      </c>
      <c r="JL15" s="35" t="s">
        <v>12</v>
      </c>
      <c r="JM15" s="97">
        <f ca="1">INDIRECT("Spieltage!$H"&amp;'i2'!JJ15)</f>
        <v>0</v>
      </c>
      <c r="JN15" t="str">
        <f t="shared" si="197"/>
        <v>A</v>
      </c>
      <c r="JO15">
        <f t="shared" si="198"/>
        <v>2</v>
      </c>
      <c r="JP15">
        <f t="shared" si="199"/>
        <v>0</v>
      </c>
      <c r="JQ15">
        <f t="shared" si="200"/>
        <v>0</v>
      </c>
      <c r="JR15">
        <f t="shared" si="201"/>
        <v>0</v>
      </c>
      <c r="JS15" t="b">
        <f t="shared" ca="1" si="202"/>
        <v>0</v>
      </c>
      <c r="JT15" t="b">
        <f t="shared" ca="1" si="203"/>
        <v>1</v>
      </c>
      <c r="JU15" t="b">
        <f t="shared" ca="1" si="204"/>
        <v>0</v>
      </c>
      <c r="JV15">
        <f t="shared" ca="1" si="205"/>
        <v>0</v>
      </c>
      <c r="JW15" t="b">
        <f t="shared" si="206"/>
        <v>0</v>
      </c>
      <c r="JX15" t="b">
        <f t="shared" si="207"/>
        <v>0</v>
      </c>
      <c r="JY15">
        <f t="shared" ca="1" si="208"/>
        <v>0</v>
      </c>
      <c r="JZ15" s="6">
        <f t="shared" ca="1" si="209"/>
        <v>1</v>
      </c>
      <c r="KA15" t="e">
        <f>MATCH(KA$2,Spieltage!$C$168:$C$176,0)+167</f>
        <v>#N/A</v>
      </c>
      <c r="KB15">
        <f>MATCH(KA$2,Spieltage!$E$168:$E$176,0)+167</f>
        <v>169</v>
      </c>
      <c r="KC15">
        <f t="shared" si="210"/>
        <v>169</v>
      </c>
      <c r="KD15">
        <f ca="1">INDIRECT("Spieltage!$F"&amp;'i2'!KC15)</f>
        <v>0</v>
      </c>
      <c r="KE15" s="35" t="s">
        <v>12</v>
      </c>
      <c r="KF15" s="97">
        <f ca="1">INDIRECT("Spieltage!$H"&amp;'i2'!KC15)</f>
        <v>0</v>
      </c>
      <c r="KG15" t="str">
        <f t="shared" si="211"/>
        <v>A</v>
      </c>
      <c r="KH15">
        <f t="shared" si="212"/>
        <v>2</v>
      </c>
      <c r="KI15">
        <f t="shared" si="213"/>
        <v>0</v>
      </c>
      <c r="KJ15">
        <f t="shared" si="214"/>
        <v>0</v>
      </c>
      <c r="KK15">
        <f t="shared" si="215"/>
        <v>0</v>
      </c>
      <c r="KL15" t="b">
        <f t="shared" ca="1" si="216"/>
        <v>0</v>
      </c>
      <c r="KM15" t="b">
        <f t="shared" ca="1" si="217"/>
        <v>1</v>
      </c>
      <c r="KN15" t="b">
        <f t="shared" ca="1" si="218"/>
        <v>0</v>
      </c>
      <c r="KO15">
        <f t="shared" ca="1" si="219"/>
        <v>0</v>
      </c>
      <c r="KP15" t="b">
        <f t="shared" si="220"/>
        <v>0</v>
      </c>
      <c r="KQ15" t="b">
        <f t="shared" si="221"/>
        <v>0</v>
      </c>
      <c r="KR15">
        <f t="shared" ca="1" si="222"/>
        <v>0</v>
      </c>
      <c r="KS15" s="6">
        <f t="shared" ca="1" si="223"/>
        <v>1</v>
      </c>
      <c r="KT15" t="e">
        <f>MATCH(KT$2,Spieltage!$C$168:$C$176,0)+167</f>
        <v>#N/A</v>
      </c>
      <c r="KU15">
        <f>MATCH(KT$2,Spieltage!$E$168:$E$176,0)+167</f>
        <v>174</v>
      </c>
      <c r="KV15">
        <f t="shared" si="224"/>
        <v>174</v>
      </c>
      <c r="KW15">
        <f ca="1">INDIRECT("Spieltage!$F"&amp;'i2'!KV15)</f>
        <v>0</v>
      </c>
      <c r="KX15" s="35" t="s">
        <v>12</v>
      </c>
      <c r="KY15" s="97">
        <f ca="1">INDIRECT("Spieltage!$H"&amp;'i2'!KV15)</f>
        <v>0</v>
      </c>
      <c r="KZ15" t="str">
        <f t="shared" si="225"/>
        <v>A</v>
      </c>
      <c r="LA15">
        <f t="shared" si="226"/>
        <v>2</v>
      </c>
      <c r="LB15">
        <f t="shared" si="227"/>
        <v>0</v>
      </c>
      <c r="LC15">
        <f t="shared" si="228"/>
        <v>0</v>
      </c>
      <c r="LD15">
        <f t="shared" si="229"/>
        <v>0</v>
      </c>
      <c r="LE15" t="b">
        <f t="shared" ca="1" si="230"/>
        <v>0</v>
      </c>
      <c r="LF15" t="b">
        <f t="shared" ca="1" si="231"/>
        <v>1</v>
      </c>
      <c r="LG15" t="b">
        <f t="shared" ca="1" si="232"/>
        <v>0</v>
      </c>
      <c r="LH15">
        <f t="shared" ca="1" si="233"/>
        <v>0</v>
      </c>
      <c r="LI15" t="b">
        <f t="shared" si="234"/>
        <v>0</v>
      </c>
      <c r="LJ15" t="b">
        <f t="shared" si="235"/>
        <v>0</v>
      </c>
      <c r="LK15">
        <f t="shared" ca="1" si="236"/>
        <v>0</v>
      </c>
      <c r="LL15" s="6">
        <f t="shared" ca="1" si="237"/>
        <v>1</v>
      </c>
      <c r="LM15" t="e">
        <f>MATCH(LM$2,Spieltage!$C$168:$C$176,0)+167</f>
        <v>#N/A</v>
      </c>
      <c r="LN15">
        <f>MATCH(LM$2,Spieltage!$E$168:$E$176,0)+167</f>
        <v>170</v>
      </c>
      <c r="LO15">
        <f t="shared" si="238"/>
        <v>170</v>
      </c>
      <c r="LP15">
        <f ca="1">INDIRECT("Spieltage!$F"&amp;'i2'!LO15)</f>
        <v>0</v>
      </c>
      <c r="LQ15" s="35" t="s">
        <v>12</v>
      </c>
      <c r="LR15" s="97">
        <f ca="1">INDIRECT("Spieltage!$H"&amp;'i2'!LO15)</f>
        <v>0</v>
      </c>
      <c r="LS15" t="str">
        <f t="shared" si="239"/>
        <v>A</v>
      </c>
      <c r="LT15">
        <f t="shared" si="240"/>
        <v>2</v>
      </c>
      <c r="LU15">
        <f t="shared" si="241"/>
        <v>0</v>
      </c>
      <c r="LV15">
        <f t="shared" si="242"/>
        <v>0</v>
      </c>
      <c r="LW15">
        <f t="shared" si="243"/>
        <v>0</v>
      </c>
      <c r="LX15" t="b">
        <f t="shared" ca="1" si="244"/>
        <v>0</v>
      </c>
      <c r="LY15" t="b">
        <f t="shared" ca="1" si="245"/>
        <v>1</v>
      </c>
      <c r="LZ15" t="b">
        <f t="shared" ca="1" si="246"/>
        <v>0</v>
      </c>
      <c r="MA15">
        <f t="shared" ca="1" si="247"/>
        <v>0</v>
      </c>
      <c r="MB15" t="b">
        <f t="shared" si="248"/>
        <v>0</v>
      </c>
      <c r="MC15" t="b">
        <f t="shared" si="249"/>
        <v>0</v>
      </c>
      <c r="MD15">
        <f t="shared" ca="1" si="250"/>
        <v>0</v>
      </c>
      <c r="ME15" s="6">
        <f t="shared" ca="1" si="251"/>
        <v>1</v>
      </c>
    </row>
    <row r="16" spans="1:343" x14ac:dyDescent="0.2">
      <c r="A16" s="104" t="s">
        <v>224</v>
      </c>
      <c r="B16" t="e">
        <f>MATCH(B$2,Spieltage!$C$183:$C$191,0)+182</f>
        <v>#N/A</v>
      </c>
      <c r="C16">
        <f>MATCH(B$2,Spieltage!$E$183:$E$191,0)+182</f>
        <v>186</v>
      </c>
      <c r="D16">
        <f t="shared" si="0"/>
        <v>186</v>
      </c>
      <c r="E16">
        <f ca="1">INDIRECT("Spieltage!$F"&amp;'i2'!D16)</f>
        <v>0</v>
      </c>
      <c r="F16" s="35" t="s">
        <v>12</v>
      </c>
      <c r="G16" s="97">
        <f ca="1">INDIRECT("Spieltage!$H"&amp;'i2'!D16)</f>
        <v>0</v>
      </c>
      <c r="H16" t="str">
        <f t="shared" si="1"/>
        <v>A</v>
      </c>
      <c r="I16">
        <f t="shared" si="2"/>
        <v>2</v>
      </c>
      <c r="J16">
        <f t="shared" si="3"/>
        <v>0</v>
      </c>
      <c r="K16">
        <f t="shared" si="4"/>
        <v>0</v>
      </c>
      <c r="L16">
        <f t="shared" si="5"/>
        <v>0</v>
      </c>
      <c r="M16" t="b">
        <f t="shared" ca="1" si="6"/>
        <v>0</v>
      </c>
      <c r="N16" t="b">
        <f t="shared" ca="1" si="7"/>
        <v>1</v>
      </c>
      <c r="O16" t="b">
        <f t="shared" ca="1" si="8"/>
        <v>0</v>
      </c>
      <c r="P16">
        <f t="shared" ca="1" si="9"/>
        <v>0</v>
      </c>
      <c r="Q16" t="b">
        <f t="shared" si="10"/>
        <v>0</v>
      </c>
      <c r="R16" t="b">
        <f t="shared" si="11"/>
        <v>0</v>
      </c>
      <c r="S16">
        <f t="shared" ca="1" si="12"/>
        <v>0</v>
      </c>
      <c r="T16" s="6">
        <f t="shared" ca="1" si="13"/>
        <v>1</v>
      </c>
      <c r="U16">
        <f>MATCH(U$2,Spieltage!$C$183:$C$191,0)+182</f>
        <v>185</v>
      </c>
      <c r="V16" t="e">
        <f>MATCH(U$2,Spieltage!$E$183:$E$191,0)+182</f>
        <v>#N/A</v>
      </c>
      <c r="W16">
        <f t="shared" si="14"/>
        <v>185</v>
      </c>
      <c r="X16">
        <f ca="1">INDIRECT("Spieltage!$F"&amp;'i2'!W16)</f>
        <v>0</v>
      </c>
      <c r="Y16" s="35" t="s">
        <v>12</v>
      </c>
      <c r="Z16" s="97">
        <f ca="1">INDIRECT("Spieltage!$H"&amp;'i2'!W16)</f>
        <v>0</v>
      </c>
      <c r="AA16" t="str">
        <f t="shared" si="15"/>
        <v>H</v>
      </c>
      <c r="AB16">
        <f t="shared" si="16"/>
        <v>1</v>
      </c>
      <c r="AC16" t="b">
        <f t="shared" ca="1" si="17"/>
        <v>0</v>
      </c>
      <c r="AD16" t="b">
        <f t="shared" ca="1" si="18"/>
        <v>1</v>
      </c>
      <c r="AE16" t="b">
        <f t="shared" ca="1" si="19"/>
        <v>0</v>
      </c>
      <c r="AF16">
        <f t="shared" si="20"/>
        <v>0</v>
      </c>
      <c r="AG16">
        <f t="shared" si="21"/>
        <v>0</v>
      </c>
      <c r="AH16">
        <f t="shared" si="22"/>
        <v>0</v>
      </c>
      <c r="AI16">
        <f t="shared" ca="1" si="23"/>
        <v>0</v>
      </c>
      <c r="AJ16">
        <f t="shared" ca="1" si="24"/>
        <v>0</v>
      </c>
      <c r="AK16">
        <f t="shared" ca="1" si="25"/>
        <v>1</v>
      </c>
      <c r="AL16" t="b">
        <f t="shared" si="26"/>
        <v>0</v>
      </c>
      <c r="AM16" s="6" t="b">
        <f t="shared" si="27"/>
        <v>0</v>
      </c>
      <c r="AN16" t="e">
        <f>MATCH(AN$2,Spieltage!$C$183:$C$191,0)+182</f>
        <v>#N/A</v>
      </c>
      <c r="AO16">
        <f>MATCH(AN$2,Spieltage!$E$183:$E$191,0)+182</f>
        <v>188</v>
      </c>
      <c r="AP16">
        <f t="shared" si="28"/>
        <v>188</v>
      </c>
      <c r="AQ16">
        <f ca="1">INDIRECT("Spieltage!$F"&amp;'i2'!AP16)</f>
        <v>0</v>
      </c>
      <c r="AR16" s="35" t="s">
        <v>12</v>
      </c>
      <c r="AS16" s="97">
        <f ca="1">INDIRECT("Spieltage!$H"&amp;'i2'!AP16)</f>
        <v>0</v>
      </c>
      <c r="AT16" t="str">
        <f t="shared" si="29"/>
        <v>A</v>
      </c>
      <c r="AU16">
        <f t="shared" si="30"/>
        <v>2</v>
      </c>
      <c r="AV16">
        <f t="shared" si="31"/>
        <v>0</v>
      </c>
      <c r="AW16">
        <f t="shared" si="32"/>
        <v>0</v>
      </c>
      <c r="AX16">
        <f t="shared" si="33"/>
        <v>0</v>
      </c>
      <c r="AY16" t="b">
        <f t="shared" ca="1" si="34"/>
        <v>0</v>
      </c>
      <c r="AZ16" t="b">
        <f t="shared" ca="1" si="35"/>
        <v>1</v>
      </c>
      <c r="BA16" t="b">
        <f t="shared" ca="1" si="36"/>
        <v>0</v>
      </c>
      <c r="BB16">
        <f t="shared" ca="1" si="37"/>
        <v>0</v>
      </c>
      <c r="BC16" t="b">
        <f t="shared" si="38"/>
        <v>0</v>
      </c>
      <c r="BD16" t="b">
        <f t="shared" si="39"/>
        <v>0</v>
      </c>
      <c r="BE16">
        <f t="shared" ca="1" si="40"/>
        <v>0</v>
      </c>
      <c r="BF16" s="6">
        <f t="shared" ca="1" si="41"/>
        <v>1</v>
      </c>
      <c r="BG16" t="e">
        <f>MATCH(BG$2,Spieltage!$C$183:$C$191,0)+182</f>
        <v>#N/A</v>
      </c>
      <c r="BH16">
        <f>MATCH(BG$2,Spieltage!$E$183:$E$191,0)+182</f>
        <v>183</v>
      </c>
      <c r="BI16">
        <f t="shared" si="42"/>
        <v>183</v>
      </c>
      <c r="BJ16">
        <f ca="1">INDIRECT("Spieltage!$F"&amp;'i2'!BI16)</f>
        <v>0</v>
      </c>
      <c r="BK16" s="35" t="s">
        <v>12</v>
      </c>
      <c r="BL16" s="97">
        <f ca="1">INDIRECT("Spieltage!$H"&amp;'i2'!BI16)</f>
        <v>0</v>
      </c>
      <c r="BM16" t="str">
        <f t="shared" si="43"/>
        <v>A</v>
      </c>
      <c r="BN16">
        <f t="shared" si="44"/>
        <v>2</v>
      </c>
      <c r="BO16">
        <f t="shared" si="45"/>
        <v>0</v>
      </c>
      <c r="BP16">
        <f t="shared" si="46"/>
        <v>0</v>
      </c>
      <c r="BQ16">
        <f t="shared" si="47"/>
        <v>0</v>
      </c>
      <c r="BR16" t="b">
        <f t="shared" ca="1" si="48"/>
        <v>0</v>
      </c>
      <c r="BS16" t="b">
        <f t="shared" ca="1" si="49"/>
        <v>1</v>
      </c>
      <c r="BT16" t="b">
        <f t="shared" ca="1" si="50"/>
        <v>0</v>
      </c>
      <c r="BU16">
        <f t="shared" ca="1" si="51"/>
        <v>0</v>
      </c>
      <c r="BV16" t="b">
        <f t="shared" si="52"/>
        <v>0</v>
      </c>
      <c r="BW16" t="b">
        <f t="shared" si="53"/>
        <v>0</v>
      </c>
      <c r="BX16">
        <f t="shared" ca="1" si="54"/>
        <v>0</v>
      </c>
      <c r="BY16" s="6">
        <f t="shared" ca="1" si="55"/>
        <v>1</v>
      </c>
      <c r="BZ16" t="e">
        <f>MATCH(BZ$2,Spieltage!$C$183:$C$191,0)+182</f>
        <v>#N/A</v>
      </c>
      <c r="CA16">
        <f>MATCH(BZ$2,Spieltage!$E$183:$E$191,0)+182</f>
        <v>185</v>
      </c>
      <c r="CB16">
        <f t="shared" si="56"/>
        <v>185</v>
      </c>
      <c r="CC16">
        <f ca="1">INDIRECT("Spieltage!$F"&amp;'i2'!CB16)</f>
        <v>0</v>
      </c>
      <c r="CD16" s="35" t="s">
        <v>12</v>
      </c>
      <c r="CE16" s="97">
        <f ca="1">INDIRECT("Spieltage!$H"&amp;'i2'!CB16)</f>
        <v>0</v>
      </c>
      <c r="CF16" t="str">
        <f t="shared" si="57"/>
        <v>A</v>
      </c>
      <c r="CG16">
        <f t="shared" si="58"/>
        <v>2</v>
      </c>
      <c r="CH16">
        <f t="shared" si="59"/>
        <v>0</v>
      </c>
      <c r="CI16">
        <f t="shared" si="60"/>
        <v>0</v>
      </c>
      <c r="CJ16">
        <f t="shared" si="61"/>
        <v>0</v>
      </c>
      <c r="CK16" t="b">
        <f t="shared" ca="1" si="62"/>
        <v>0</v>
      </c>
      <c r="CL16" t="b">
        <f t="shared" ca="1" si="63"/>
        <v>1</v>
      </c>
      <c r="CM16" t="b">
        <f t="shared" ca="1" si="64"/>
        <v>0</v>
      </c>
      <c r="CN16">
        <f t="shared" ca="1" si="65"/>
        <v>0</v>
      </c>
      <c r="CO16" t="b">
        <f t="shared" si="66"/>
        <v>0</v>
      </c>
      <c r="CP16" t="b">
        <f t="shared" si="67"/>
        <v>0</v>
      </c>
      <c r="CQ16">
        <f t="shared" ca="1" si="68"/>
        <v>0</v>
      </c>
      <c r="CR16" s="6">
        <f t="shared" ca="1" si="69"/>
        <v>1</v>
      </c>
      <c r="CS16" t="e">
        <f>MATCH(CS$2,Spieltage!$C$183:$C$191,0)+182</f>
        <v>#N/A</v>
      </c>
      <c r="CT16">
        <f>MATCH(CS$2,Spieltage!$E$183:$E$191,0)+182</f>
        <v>191</v>
      </c>
      <c r="CU16">
        <f t="shared" si="70"/>
        <v>191</v>
      </c>
      <c r="CV16">
        <f ca="1">INDIRECT("Spieltage!$F"&amp;'i2'!CU16)</f>
        <v>0</v>
      </c>
      <c r="CW16" s="35" t="s">
        <v>12</v>
      </c>
      <c r="CX16" s="97">
        <f ca="1">INDIRECT("Spieltage!$H"&amp;'i2'!CU16)</f>
        <v>0</v>
      </c>
      <c r="CY16" t="str">
        <f t="shared" si="71"/>
        <v>A</v>
      </c>
      <c r="CZ16">
        <f t="shared" si="72"/>
        <v>2</v>
      </c>
      <c r="DA16">
        <f t="shared" si="73"/>
        <v>0</v>
      </c>
      <c r="DB16">
        <f t="shared" si="74"/>
        <v>0</v>
      </c>
      <c r="DC16">
        <f t="shared" si="75"/>
        <v>0</v>
      </c>
      <c r="DD16" t="b">
        <f t="shared" ca="1" si="76"/>
        <v>0</v>
      </c>
      <c r="DE16" t="b">
        <f t="shared" ca="1" si="77"/>
        <v>1</v>
      </c>
      <c r="DF16" t="b">
        <f t="shared" ca="1" si="78"/>
        <v>0</v>
      </c>
      <c r="DG16">
        <f t="shared" ca="1" si="79"/>
        <v>0</v>
      </c>
      <c r="DH16" t="b">
        <f t="shared" si="80"/>
        <v>0</v>
      </c>
      <c r="DI16" t="b">
        <f t="shared" si="81"/>
        <v>0</v>
      </c>
      <c r="DJ16">
        <f t="shared" ca="1" si="82"/>
        <v>0</v>
      </c>
      <c r="DK16" s="6">
        <f t="shared" ca="1" si="83"/>
        <v>1</v>
      </c>
      <c r="DL16" t="e">
        <f>MATCH(DL$2,Spieltage!$C$183:$C$191,0)+182</f>
        <v>#N/A</v>
      </c>
      <c r="DM16">
        <f>MATCH(DL$2,Spieltage!$E$183:$E$191,0)+182</f>
        <v>189</v>
      </c>
      <c r="DN16">
        <f t="shared" si="84"/>
        <v>189</v>
      </c>
      <c r="DO16">
        <f ca="1">INDIRECT("Spieltage!$F"&amp;'i2'!DN16)</f>
        <v>0</v>
      </c>
      <c r="DP16" s="35" t="s">
        <v>12</v>
      </c>
      <c r="DQ16" s="97">
        <f ca="1">INDIRECT("Spieltage!$H"&amp;'i2'!DN16)</f>
        <v>0</v>
      </c>
      <c r="DR16" t="str">
        <f t="shared" si="85"/>
        <v>A</v>
      </c>
      <c r="DS16">
        <f t="shared" si="86"/>
        <v>2</v>
      </c>
      <c r="DT16">
        <f t="shared" si="87"/>
        <v>0</v>
      </c>
      <c r="DU16">
        <f t="shared" si="88"/>
        <v>0</v>
      </c>
      <c r="DV16">
        <f t="shared" si="89"/>
        <v>0</v>
      </c>
      <c r="DW16" t="b">
        <f t="shared" ca="1" si="90"/>
        <v>0</v>
      </c>
      <c r="DX16" t="b">
        <f t="shared" ca="1" si="91"/>
        <v>1</v>
      </c>
      <c r="DY16" t="b">
        <f t="shared" ca="1" si="92"/>
        <v>0</v>
      </c>
      <c r="DZ16">
        <f t="shared" ca="1" si="93"/>
        <v>0</v>
      </c>
      <c r="EA16" t="b">
        <f t="shared" si="94"/>
        <v>0</v>
      </c>
      <c r="EB16" t="b">
        <f t="shared" si="95"/>
        <v>0</v>
      </c>
      <c r="EC16">
        <f t="shared" ca="1" si="96"/>
        <v>0</v>
      </c>
      <c r="ED16" s="6">
        <f t="shared" ca="1" si="97"/>
        <v>1</v>
      </c>
      <c r="EE16">
        <f>MATCH(EE$2,Spieltage!$C$183:$C$191,0)+182</f>
        <v>188</v>
      </c>
      <c r="EF16" t="e">
        <f>MATCH(EE$2,Spieltage!$E$183:$E$191,0)+182</f>
        <v>#N/A</v>
      </c>
      <c r="EG16">
        <f t="shared" si="98"/>
        <v>188</v>
      </c>
      <c r="EH16">
        <f ca="1">INDIRECT("Spieltage!$F"&amp;'i2'!EG16)</f>
        <v>0</v>
      </c>
      <c r="EI16" s="35" t="s">
        <v>12</v>
      </c>
      <c r="EJ16" s="97">
        <f ca="1">INDIRECT("Spieltage!$H"&amp;'i2'!EG16)</f>
        <v>0</v>
      </c>
      <c r="EK16" t="str">
        <f t="shared" si="99"/>
        <v>H</v>
      </c>
      <c r="EL16">
        <f t="shared" si="100"/>
        <v>1</v>
      </c>
      <c r="EM16" t="b">
        <f t="shared" ca="1" si="101"/>
        <v>0</v>
      </c>
      <c r="EN16" t="b">
        <f t="shared" ca="1" si="102"/>
        <v>1</v>
      </c>
      <c r="EO16" t="b">
        <f t="shared" ca="1" si="103"/>
        <v>0</v>
      </c>
      <c r="EP16">
        <f t="shared" si="104"/>
        <v>0</v>
      </c>
      <c r="EQ16">
        <f t="shared" si="105"/>
        <v>0</v>
      </c>
      <c r="ER16">
        <f t="shared" si="106"/>
        <v>0</v>
      </c>
      <c r="ES16">
        <f t="shared" ca="1" si="107"/>
        <v>0</v>
      </c>
      <c r="ET16">
        <f t="shared" ca="1" si="108"/>
        <v>0</v>
      </c>
      <c r="EU16">
        <f t="shared" ca="1" si="109"/>
        <v>1</v>
      </c>
      <c r="EV16" t="b">
        <f t="shared" si="110"/>
        <v>0</v>
      </c>
      <c r="EW16" s="6" t="b">
        <f t="shared" si="111"/>
        <v>0</v>
      </c>
      <c r="EX16">
        <f>MATCH(EX$2,Spieltage!$C$183:$C$191,0)+182</f>
        <v>184</v>
      </c>
      <c r="EY16" t="e">
        <f>MATCH(EX$2,Spieltage!$E$183:$E$191,0)+182</f>
        <v>#N/A</v>
      </c>
      <c r="EZ16">
        <f t="shared" si="112"/>
        <v>184</v>
      </c>
      <c r="FA16">
        <f ca="1">INDIRECT("Spieltage!$F"&amp;'i2'!EZ16)</f>
        <v>0</v>
      </c>
      <c r="FB16" s="35" t="s">
        <v>12</v>
      </c>
      <c r="FC16" s="97">
        <f ca="1">INDIRECT("Spieltage!$H"&amp;'i2'!EZ16)</f>
        <v>0</v>
      </c>
      <c r="FD16" t="str">
        <f t="shared" si="113"/>
        <v>H</v>
      </c>
      <c r="FE16">
        <f t="shared" si="114"/>
        <v>1</v>
      </c>
      <c r="FF16" t="b">
        <f t="shared" ca="1" si="115"/>
        <v>0</v>
      </c>
      <c r="FG16" t="b">
        <f t="shared" ca="1" si="116"/>
        <v>1</v>
      </c>
      <c r="FH16" t="b">
        <f t="shared" ca="1" si="117"/>
        <v>0</v>
      </c>
      <c r="FI16">
        <f t="shared" si="118"/>
        <v>0</v>
      </c>
      <c r="FJ16">
        <f t="shared" si="119"/>
        <v>0</v>
      </c>
      <c r="FK16">
        <f t="shared" si="120"/>
        <v>0</v>
      </c>
      <c r="FL16">
        <f t="shared" ca="1" si="121"/>
        <v>0</v>
      </c>
      <c r="FM16">
        <f t="shared" ca="1" si="122"/>
        <v>0</v>
      </c>
      <c r="FN16">
        <f t="shared" ca="1" si="123"/>
        <v>1</v>
      </c>
      <c r="FO16" t="b">
        <f t="shared" si="124"/>
        <v>0</v>
      </c>
      <c r="FP16" s="6" t="b">
        <f t="shared" si="125"/>
        <v>0</v>
      </c>
      <c r="FQ16">
        <f>MATCH(FQ$2,Spieltage!$C$183:$C$191,0)+182</f>
        <v>190</v>
      </c>
      <c r="FR16" t="e">
        <f>MATCH(FQ$2,Spieltage!$E$183:$E$191,0)+182</f>
        <v>#N/A</v>
      </c>
      <c r="FS16">
        <f t="shared" si="126"/>
        <v>190</v>
      </c>
      <c r="FT16">
        <f ca="1">INDIRECT("Spieltage!$F"&amp;'i2'!FS16)</f>
        <v>0</v>
      </c>
      <c r="FU16" s="35" t="s">
        <v>12</v>
      </c>
      <c r="FV16" s="97">
        <f ca="1">INDIRECT("Spieltage!$H"&amp;'i2'!FS16)</f>
        <v>0</v>
      </c>
      <c r="FW16" t="str">
        <f t="shared" si="127"/>
        <v>H</v>
      </c>
      <c r="FX16">
        <f t="shared" si="128"/>
        <v>1</v>
      </c>
      <c r="FY16" t="b">
        <f t="shared" ca="1" si="129"/>
        <v>0</v>
      </c>
      <c r="FZ16" t="b">
        <f t="shared" ca="1" si="130"/>
        <v>1</v>
      </c>
      <c r="GA16" t="b">
        <f t="shared" ca="1" si="131"/>
        <v>0</v>
      </c>
      <c r="GB16">
        <f t="shared" si="132"/>
        <v>0</v>
      </c>
      <c r="GC16">
        <f t="shared" si="133"/>
        <v>0</v>
      </c>
      <c r="GD16">
        <f t="shared" si="134"/>
        <v>0</v>
      </c>
      <c r="GE16">
        <f t="shared" ca="1" si="135"/>
        <v>0</v>
      </c>
      <c r="GF16">
        <f t="shared" ca="1" si="136"/>
        <v>0</v>
      </c>
      <c r="GG16">
        <f t="shared" ca="1" si="137"/>
        <v>1</v>
      </c>
      <c r="GH16" t="b">
        <f t="shared" si="138"/>
        <v>0</v>
      </c>
      <c r="GI16" s="6" t="b">
        <f t="shared" si="139"/>
        <v>0</v>
      </c>
      <c r="GJ16" t="e">
        <f>MATCH(GJ$2,Spieltage!$C$183:$C$191,0)+182</f>
        <v>#N/A</v>
      </c>
      <c r="GK16">
        <f>MATCH(GJ$2,Spieltage!$E$183:$E$191,0)+182</f>
        <v>184</v>
      </c>
      <c r="GL16">
        <f t="shared" si="140"/>
        <v>184</v>
      </c>
      <c r="GM16">
        <f ca="1">INDIRECT("Spieltage!$F"&amp;'i2'!GL16)</f>
        <v>0</v>
      </c>
      <c r="GN16" s="35" t="s">
        <v>12</v>
      </c>
      <c r="GO16" s="97">
        <f ca="1">INDIRECT("Spieltage!$H"&amp;'i2'!GL16)</f>
        <v>0</v>
      </c>
      <c r="GP16" t="str">
        <f t="shared" si="141"/>
        <v>A</v>
      </c>
      <c r="GQ16">
        <f t="shared" si="142"/>
        <v>2</v>
      </c>
      <c r="GR16">
        <f t="shared" si="143"/>
        <v>0</v>
      </c>
      <c r="GS16">
        <f t="shared" si="144"/>
        <v>0</v>
      </c>
      <c r="GT16">
        <f t="shared" si="145"/>
        <v>0</v>
      </c>
      <c r="GU16" t="b">
        <f t="shared" ca="1" si="146"/>
        <v>0</v>
      </c>
      <c r="GV16" t="b">
        <f t="shared" ca="1" si="147"/>
        <v>1</v>
      </c>
      <c r="GW16" t="b">
        <f t="shared" ca="1" si="148"/>
        <v>0</v>
      </c>
      <c r="GX16">
        <f t="shared" ca="1" si="149"/>
        <v>0</v>
      </c>
      <c r="GY16" t="b">
        <f t="shared" si="150"/>
        <v>0</v>
      </c>
      <c r="GZ16" t="b">
        <f t="shared" si="151"/>
        <v>0</v>
      </c>
      <c r="HA16">
        <f t="shared" ca="1" si="152"/>
        <v>0</v>
      </c>
      <c r="HB16" s="6">
        <f t="shared" ca="1" si="153"/>
        <v>1</v>
      </c>
      <c r="HC16">
        <f>MATCH(HC$2,Spieltage!$C$183:$C$191,0)+182</f>
        <v>191</v>
      </c>
      <c r="HD16" t="e">
        <f>MATCH(HC$2,Spieltage!$E$183:$E$191,0)+182</f>
        <v>#N/A</v>
      </c>
      <c r="HE16">
        <f t="shared" si="154"/>
        <v>191</v>
      </c>
      <c r="HF16">
        <f ca="1">INDIRECT("Spieltage!$F"&amp;'i2'!HE16)</f>
        <v>0</v>
      </c>
      <c r="HG16" s="35" t="s">
        <v>12</v>
      </c>
      <c r="HH16" s="97">
        <f ca="1">INDIRECT("Spieltage!$H"&amp;'i2'!HE16)</f>
        <v>0</v>
      </c>
      <c r="HI16" t="str">
        <f t="shared" si="155"/>
        <v>H</v>
      </c>
      <c r="HJ16">
        <f t="shared" si="156"/>
        <v>1</v>
      </c>
      <c r="HK16" t="b">
        <f t="shared" ca="1" si="157"/>
        <v>0</v>
      </c>
      <c r="HL16" t="b">
        <f t="shared" ca="1" si="158"/>
        <v>1</v>
      </c>
      <c r="HM16" t="b">
        <f t="shared" ca="1" si="159"/>
        <v>0</v>
      </c>
      <c r="HN16">
        <f t="shared" si="160"/>
        <v>0</v>
      </c>
      <c r="HO16">
        <f t="shared" si="161"/>
        <v>0</v>
      </c>
      <c r="HP16">
        <f t="shared" si="162"/>
        <v>0</v>
      </c>
      <c r="HQ16">
        <f t="shared" ca="1" si="163"/>
        <v>0</v>
      </c>
      <c r="HR16">
        <f t="shared" ca="1" si="164"/>
        <v>0</v>
      </c>
      <c r="HS16">
        <f t="shared" ca="1" si="165"/>
        <v>1</v>
      </c>
      <c r="HT16" t="b">
        <f t="shared" si="166"/>
        <v>0</v>
      </c>
      <c r="HU16" s="6" t="b">
        <f t="shared" si="167"/>
        <v>0</v>
      </c>
      <c r="HV16" t="e">
        <f>MATCH(HV$2,Spieltage!$C$183:$C$191,0)+182</f>
        <v>#N/A</v>
      </c>
      <c r="HW16">
        <f>MATCH(HV$2,Spieltage!$E$183:$E$191,0)+182</f>
        <v>187</v>
      </c>
      <c r="HX16">
        <f t="shared" si="168"/>
        <v>187</v>
      </c>
      <c r="HY16">
        <f ca="1">INDIRECT("Spieltage!$F"&amp;'i2'!HX16)</f>
        <v>0</v>
      </c>
      <c r="HZ16" s="35" t="s">
        <v>12</v>
      </c>
      <c r="IA16" s="97">
        <f ca="1">INDIRECT("Spieltage!$H"&amp;'i2'!HX16)</f>
        <v>0</v>
      </c>
      <c r="IB16" t="str">
        <f t="shared" si="169"/>
        <v>A</v>
      </c>
      <c r="IC16">
        <f t="shared" si="170"/>
        <v>2</v>
      </c>
      <c r="ID16">
        <f t="shared" si="171"/>
        <v>0</v>
      </c>
      <c r="IE16">
        <f t="shared" si="172"/>
        <v>0</v>
      </c>
      <c r="IF16">
        <f t="shared" si="173"/>
        <v>0</v>
      </c>
      <c r="IG16" t="b">
        <f t="shared" ca="1" si="174"/>
        <v>0</v>
      </c>
      <c r="IH16" t="b">
        <f t="shared" ca="1" si="175"/>
        <v>1</v>
      </c>
      <c r="II16" t="b">
        <f t="shared" ca="1" si="176"/>
        <v>0</v>
      </c>
      <c r="IJ16">
        <f t="shared" ca="1" si="177"/>
        <v>0</v>
      </c>
      <c r="IK16" t="b">
        <f t="shared" si="178"/>
        <v>0</v>
      </c>
      <c r="IL16" t="b">
        <f t="shared" si="179"/>
        <v>0</v>
      </c>
      <c r="IM16">
        <f t="shared" ca="1" si="180"/>
        <v>0</v>
      </c>
      <c r="IN16" s="6">
        <f t="shared" ca="1" si="181"/>
        <v>1</v>
      </c>
      <c r="IO16">
        <f>MATCH(IO$2,Spieltage!$C$183:$C$191,0)+182</f>
        <v>186</v>
      </c>
      <c r="IP16" t="e">
        <f>MATCH(IO$2,Spieltage!$E$183:$E$191,0)+182</f>
        <v>#N/A</v>
      </c>
      <c r="IQ16">
        <f t="shared" si="182"/>
        <v>186</v>
      </c>
      <c r="IR16">
        <f ca="1">INDIRECT("Spieltage!$F"&amp;'i2'!IQ16)</f>
        <v>0</v>
      </c>
      <c r="IS16" s="35" t="s">
        <v>12</v>
      </c>
      <c r="IT16" s="97">
        <f ca="1">INDIRECT("Spieltage!$H"&amp;'i2'!IQ16)</f>
        <v>0</v>
      </c>
      <c r="IU16" t="str">
        <f t="shared" si="183"/>
        <v>H</v>
      </c>
      <c r="IV16">
        <f t="shared" si="184"/>
        <v>1</v>
      </c>
      <c r="IW16" t="b">
        <f t="shared" ca="1" si="185"/>
        <v>0</v>
      </c>
      <c r="IX16" t="b">
        <f t="shared" ca="1" si="186"/>
        <v>1</v>
      </c>
      <c r="IY16" t="b">
        <f t="shared" ca="1" si="187"/>
        <v>0</v>
      </c>
      <c r="IZ16">
        <f t="shared" si="188"/>
        <v>0</v>
      </c>
      <c r="JA16">
        <f t="shared" si="189"/>
        <v>0</v>
      </c>
      <c r="JB16">
        <f t="shared" si="190"/>
        <v>0</v>
      </c>
      <c r="JC16">
        <f t="shared" ca="1" si="191"/>
        <v>0</v>
      </c>
      <c r="JD16">
        <f t="shared" ca="1" si="192"/>
        <v>0</v>
      </c>
      <c r="JE16">
        <f t="shared" ca="1" si="193"/>
        <v>1</v>
      </c>
      <c r="JF16" t="b">
        <f t="shared" si="194"/>
        <v>0</v>
      </c>
      <c r="JG16" s="6" t="b">
        <f t="shared" si="195"/>
        <v>0</v>
      </c>
      <c r="JH16" t="e">
        <f>MATCH(JH$2,Spieltage!$C$183:$C$191,0)+182</f>
        <v>#N/A</v>
      </c>
      <c r="JI16">
        <f>MATCH(JH$2,Spieltage!$E$183:$E$191,0)+182</f>
        <v>190</v>
      </c>
      <c r="JJ16">
        <f t="shared" si="196"/>
        <v>190</v>
      </c>
      <c r="JK16">
        <f ca="1">INDIRECT("Spieltage!$F"&amp;'i2'!JJ16)</f>
        <v>0</v>
      </c>
      <c r="JL16" s="35" t="s">
        <v>12</v>
      </c>
      <c r="JM16" s="97">
        <f ca="1">INDIRECT("Spieltage!$H"&amp;'i2'!JJ16)</f>
        <v>0</v>
      </c>
      <c r="JN16" t="str">
        <f t="shared" si="197"/>
        <v>A</v>
      </c>
      <c r="JO16">
        <f t="shared" si="198"/>
        <v>2</v>
      </c>
      <c r="JP16">
        <f t="shared" si="199"/>
        <v>0</v>
      </c>
      <c r="JQ16">
        <f t="shared" si="200"/>
        <v>0</v>
      </c>
      <c r="JR16">
        <f t="shared" si="201"/>
        <v>0</v>
      </c>
      <c r="JS16" t="b">
        <f t="shared" ca="1" si="202"/>
        <v>0</v>
      </c>
      <c r="JT16" t="b">
        <f t="shared" ca="1" si="203"/>
        <v>1</v>
      </c>
      <c r="JU16" t="b">
        <f t="shared" ca="1" si="204"/>
        <v>0</v>
      </c>
      <c r="JV16">
        <f t="shared" ca="1" si="205"/>
        <v>0</v>
      </c>
      <c r="JW16" t="b">
        <f t="shared" si="206"/>
        <v>0</v>
      </c>
      <c r="JX16" t="b">
        <f t="shared" si="207"/>
        <v>0</v>
      </c>
      <c r="JY16">
        <f t="shared" ca="1" si="208"/>
        <v>0</v>
      </c>
      <c r="JZ16" s="6">
        <f t="shared" ca="1" si="209"/>
        <v>1</v>
      </c>
      <c r="KA16">
        <f>MATCH(KA$2,Spieltage!$C$183:$C$191,0)+182</f>
        <v>183</v>
      </c>
      <c r="KB16" t="e">
        <f>MATCH(KA$2,Spieltage!$E$183:$E$191,0)+182</f>
        <v>#N/A</v>
      </c>
      <c r="KC16">
        <f t="shared" si="210"/>
        <v>183</v>
      </c>
      <c r="KD16">
        <f ca="1">INDIRECT("Spieltage!$F"&amp;'i2'!KC16)</f>
        <v>0</v>
      </c>
      <c r="KE16" s="35" t="s">
        <v>12</v>
      </c>
      <c r="KF16" s="97">
        <f ca="1">INDIRECT("Spieltage!$H"&amp;'i2'!KC16)</f>
        <v>0</v>
      </c>
      <c r="KG16" t="str">
        <f t="shared" si="211"/>
        <v>H</v>
      </c>
      <c r="KH16">
        <f t="shared" si="212"/>
        <v>1</v>
      </c>
      <c r="KI16" t="b">
        <f t="shared" ca="1" si="213"/>
        <v>0</v>
      </c>
      <c r="KJ16" t="b">
        <f t="shared" ca="1" si="214"/>
        <v>1</v>
      </c>
      <c r="KK16" t="b">
        <f t="shared" ca="1" si="215"/>
        <v>0</v>
      </c>
      <c r="KL16">
        <f t="shared" si="216"/>
        <v>0</v>
      </c>
      <c r="KM16">
        <f t="shared" si="217"/>
        <v>0</v>
      </c>
      <c r="KN16">
        <f t="shared" si="218"/>
        <v>0</v>
      </c>
      <c r="KO16">
        <f t="shared" ca="1" si="219"/>
        <v>0</v>
      </c>
      <c r="KP16">
        <f t="shared" ca="1" si="220"/>
        <v>0</v>
      </c>
      <c r="KQ16">
        <f t="shared" ca="1" si="221"/>
        <v>1</v>
      </c>
      <c r="KR16" t="b">
        <f t="shared" si="222"/>
        <v>0</v>
      </c>
      <c r="KS16" s="6" t="b">
        <f t="shared" si="223"/>
        <v>0</v>
      </c>
      <c r="KT16">
        <f>MATCH(KT$2,Spieltage!$C$183:$C$191,0)+182</f>
        <v>189</v>
      </c>
      <c r="KU16" t="e">
        <f>MATCH(KT$2,Spieltage!$E$183:$E$191,0)+182</f>
        <v>#N/A</v>
      </c>
      <c r="KV16">
        <f t="shared" si="224"/>
        <v>189</v>
      </c>
      <c r="KW16">
        <f ca="1">INDIRECT("Spieltage!$F"&amp;'i2'!KV16)</f>
        <v>0</v>
      </c>
      <c r="KX16" s="35" t="s">
        <v>12</v>
      </c>
      <c r="KY16" s="97">
        <f ca="1">INDIRECT("Spieltage!$H"&amp;'i2'!KV16)</f>
        <v>0</v>
      </c>
      <c r="KZ16" t="str">
        <f t="shared" si="225"/>
        <v>H</v>
      </c>
      <c r="LA16">
        <f t="shared" si="226"/>
        <v>1</v>
      </c>
      <c r="LB16" t="b">
        <f t="shared" ca="1" si="227"/>
        <v>0</v>
      </c>
      <c r="LC16" t="b">
        <f t="shared" ca="1" si="228"/>
        <v>1</v>
      </c>
      <c r="LD16" t="b">
        <f t="shared" ca="1" si="229"/>
        <v>0</v>
      </c>
      <c r="LE16">
        <f t="shared" si="230"/>
        <v>0</v>
      </c>
      <c r="LF16">
        <f t="shared" si="231"/>
        <v>0</v>
      </c>
      <c r="LG16">
        <f t="shared" si="232"/>
        <v>0</v>
      </c>
      <c r="LH16">
        <f t="shared" ca="1" si="233"/>
        <v>0</v>
      </c>
      <c r="LI16">
        <f t="shared" ca="1" si="234"/>
        <v>0</v>
      </c>
      <c r="LJ16">
        <f t="shared" ca="1" si="235"/>
        <v>1</v>
      </c>
      <c r="LK16" t="b">
        <f t="shared" si="236"/>
        <v>0</v>
      </c>
      <c r="LL16" s="6" t="b">
        <f t="shared" si="237"/>
        <v>0</v>
      </c>
      <c r="LM16">
        <f>MATCH(LM$2,Spieltage!$C$183:$C$191,0)+182</f>
        <v>187</v>
      </c>
      <c r="LN16" t="e">
        <f>MATCH(LM$2,Spieltage!$E$183:$E$191,0)+182</f>
        <v>#N/A</v>
      </c>
      <c r="LO16">
        <f t="shared" si="238"/>
        <v>187</v>
      </c>
      <c r="LP16">
        <f ca="1">INDIRECT("Spieltage!$F"&amp;'i2'!LO16)</f>
        <v>0</v>
      </c>
      <c r="LQ16" s="35" t="s">
        <v>12</v>
      </c>
      <c r="LR16" s="97">
        <f ca="1">INDIRECT("Spieltage!$H"&amp;'i2'!LO16)</f>
        <v>0</v>
      </c>
      <c r="LS16" t="str">
        <f t="shared" si="239"/>
        <v>H</v>
      </c>
      <c r="LT16">
        <f t="shared" si="240"/>
        <v>1</v>
      </c>
      <c r="LU16" t="b">
        <f t="shared" ca="1" si="241"/>
        <v>0</v>
      </c>
      <c r="LV16" t="b">
        <f t="shared" ca="1" si="242"/>
        <v>1</v>
      </c>
      <c r="LW16" t="b">
        <f t="shared" ca="1" si="243"/>
        <v>0</v>
      </c>
      <c r="LX16">
        <f t="shared" si="244"/>
        <v>0</v>
      </c>
      <c r="LY16">
        <f t="shared" si="245"/>
        <v>0</v>
      </c>
      <c r="LZ16">
        <f t="shared" si="246"/>
        <v>0</v>
      </c>
      <c r="MA16">
        <f t="shared" ca="1" si="247"/>
        <v>0</v>
      </c>
      <c r="MB16">
        <f t="shared" ca="1" si="248"/>
        <v>0</v>
      </c>
      <c r="MC16">
        <f t="shared" ca="1" si="249"/>
        <v>1</v>
      </c>
      <c r="MD16" t="b">
        <f t="shared" si="250"/>
        <v>0</v>
      </c>
      <c r="ME16" s="6" t="b">
        <f t="shared" si="251"/>
        <v>0</v>
      </c>
    </row>
    <row r="17" spans="1:343" x14ac:dyDescent="0.2">
      <c r="A17" s="104" t="s">
        <v>225</v>
      </c>
      <c r="B17">
        <f>MATCH(B$2,Spieltage!$C$198:$C$206,0)+197</f>
        <v>198</v>
      </c>
      <c r="C17" t="e">
        <f>MATCH(B$2,Spieltage!$E$198:$E$206,0)+197</f>
        <v>#N/A</v>
      </c>
      <c r="D17">
        <f t="shared" si="0"/>
        <v>198</v>
      </c>
      <c r="E17">
        <f ca="1">INDIRECT("Spieltage!$F"&amp;'i2'!D17)</f>
        <v>0</v>
      </c>
      <c r="F17" s="35" t="s">
        <v>12</v>
      </c>
      <c r="G17" s="97">
        <f ca="1">INDIRECT("Spieltage!$H"&amp;'i2'!D17)</f>
        <v>0</v>
      </c>
      <c r="H17" t="str">
        <f t="shared" si="1"/>
        <v>H</v>
      </c>
      <c r="I17">
        <f t="shared" si="2"/>
        <v>1</v>
      </c>
      <c r="J17" t="b">
        <f t="shared" ca="1" si="3"/>
        <v>0</v>
      </c>
      <c r="K17" t="b">
        <f t="shared" ca="1" si="4"/>
        <v>1</v>
      </c>
      <c r="L17" t="b">
        <f t="shared" ca="1" si="5"/>
        <v>0</v>
      </c>
      <c r="M17">
        <f t="shared" si="6"/>
        <v>0</v>
      </c>
      <c r="N17">
        <f t="shared" si="7"/>
        <v>0</v>
      </c>
      <c r="O17">
        <f t="shared" si="8"/>
        <v>0</v>
      </c>
      <c r="P17">
        <f t="shared" ca="1" si="9"/>
        <v>0</v>
      </c>
      <c r="Q17">
        <f t="shared" ca="1" si="10"/>
        <v>0</v>
      </c>
      <c r="R17">
        <f t="shared" ca="1" si="11"/>
        <v>1</v>
      </c>
      <c r="S17" t="b">
        <f t="shared" si="12"/>
        <v>0</v>
      </c>
      <c r="T17" s="6" t="b">
        <f t="shared" si="13"/>
        <v>0</v>
      </c>
      <c r="U17" t="e">
        <f>MATCH(U$2,Spieltage!$C$198:$C$206,0)+197</f>
        <v>#N/A</v>
      </c>
      <c r="V17">
        <f>MATCH(U$2,Spieltage!$E$198:$E$206,0)+197</f>
        <v>204</v>
      </c>
      <c r="W17">
        <f t="shared" si="14"/>
        <v>204</v>
      </c>
      <c r="X17">
        <f ca="1">INDIRECT("Spieltage!$F"&amp;'i2'!W17)</f>
        <v>0</v>
      </c>
      <c r="Y17" s="35" t="s">
        <v>12</v>
      </c>
      <c r="Z17" s="97">
        <f ca="1">INDIRECT("Spieltage!$H"&amp;'i2'!W17)</f>
        <v>0</v>
      </c>
      <c r="AA17" t="str">
        <f t="shared" si="15"/>
        <v>A</v>
      </c>
      <c r="AB17">
        <f t="shared" si="16"/>
        <v>2</v>
      </c>
      <c r="AC17">
        <f t="shared" si="17"/>
        <v>0</v>
      </c>
      <c r="AD17">
        <f t="shared" si="18"/>
        <v>0</v>
      </c>
      <c r="AE17">
        <f t="shared" si="19"/>
        <v>0</v>
      </c>
      <c r="AF17" t="b">
        <f t="shared" ca="1" si="20"/>
        <v>0</v>
      </c>
      <c r="AG17" t="b">
        <f t="shared" ca="1" si="21"/>
        <v>1</v>
      </c>
      <c r="AH17" t="b">
        <f t="shared" ca="1" si="22"/>
        <v>0</v>
      </c>
      <c r="AI17">
        <f t="shared" ca="1" si="23"/>
        <v>0</v>
      </c>
      <c r="AJ17" t="b">
        <f t="shared" si="24"/>
        <v>0</v>
      </c>
      <c r="AK17" t="b">
        <f t="shared" si="25"/>
        <v>0</v>
      </c>
      <c r="AL17">
        <f t="shared" ca="1" si="26"/>
        <v>0</v>
      </c>
      <c r="AM17" s="6">
        <f t="shared" ca="1" si="27"/>
        <v>1</v>
      </c>
      <c r="AN17">
        <f>MATCH(AN$2,Spieltage!$C$198:$C$206,0)+197</f>
        <v>199</v>
      </c>
      <c r="AO17" t="e">
        <f>MATCH(AN$2,Spieltage!$E$198:$E$206,0)+197</f>
        <v>#N/A</v>
      </c>
      <c r="AP17">
        <f t="shared" si="28"/>
        <v>199</v>
      </c>
      <c r="AQ17">
        <f ca="1">INDIRECT("Spieltage!$F"&amp;'i2'!AP17)</f>
        <v>0</v>
      </c>
      <c r="AR17" s="35" t="s">
        <v>12</v>
      </c>
      <c r="AS17" s="97">
        <f ca="1">INDIRECT("Spieltage!$H"&amp;'i2'!AP17)</f>
        <v>0</v>
      </c>
      <c r="AT17" t="str">
        <f t="shared" si="29"/>
        <v>H</v>
      </c>
      <c r="AU17">
        <f t="shared" si="30"/>
        <v>1</v>
      </c>
      <c r="AV17" t="b">
        <f t="shared" ca="1" si="31"/>
        <v>0</v>
      </c>
      <c r="AW17" t="b">
        <f t="shared" ca="1" si="32"/>
        <v>1</v>
      </c>
      <c r="AX17" t="b">
        <f t="shared" ca="1" si="33"/>
        <v>0</v>
      </c>
      <c r="AY17">
        <f t="shared" si="34"/>
        <v>0</v>
      </c>
      <c r="AZ17">
        <f t="shared" si="35"/>
        <v>0</v>
      </c>
      <c r="BA17">
        <f t="shared" si="36"/>
        <v>0</v>
      </c>
      <c r="BB17">
        <f t="shared" ca="1" si="37"/>
        <v>0</v>
      </c>
      <c r="BC17">
        <f t="shared" ca="1" si="38"/>
        <v>0</v>
      </c>
      <c r="BD17">
        <f t="shared" ca="1" si="39"/>
        <v>1</v>
      </c>
      <c r="BE17" t="b">
        <f t="shared" si="40"/>
        <v>0</v>
      </c>
      <c r="BF17" s="6" t="b">
        <f t="shared" si="41"/>
        <v>0</v>
      </c>
      <c r="BG17">
        <f>MATCH(BG$2,Spieltage!$C$198:$C$206,0)+197</f>
        <v>206</v>
      </c>
      <c r="BH17" t="e">
        <f>MATCH(BG$2,Spieltage!$E$198:$E$206,0)+197</f>
        <v>#N/A</v>
      </c>
      <c r="BI17">
        <f t="shared" si="42"/>
        <v>206</v>
      </c>
      <c r="BJ17">
        <f ca="1">INDIRECT("Spieltage!$F"&amp;'i2'!BI17)</f>
        <v>0</v>
      </c>
      <c r="BK17" s="35" t="s">
        <v>12</v>
      </c>
      <c r="BL17" s="97">
        <f ca="1">INDIRECT("Spieltage!$H"&amp;'i2'!BI17)</f>
        <v>0</v>
      </c>
      <c r="BM17" t="str">
        <f t="shared" si="43"/>
        <v>H</v>
      </c>
      <c r="BN17">
        <f t="shared" si="44"/>
        <v>1</v>
      </c>
      <c r="BO17" t="b">
        <f t="shared" ca="1" si="45"/>
        <v>0</v>
      </c>
      <c r="BP17" t="b">
        <f t="shared" ca="1" si="46"/>
        <v>1</v>
      </c>
      <c r="BQ17" t="b">
        <f t="shared" ca="1" si="47"/>
        <v>0</v>
      </c>
      <c r="BR17">
        <f t="shared" si="48"/>
        <v>0</v>
      </c>
      <c r="BS17">
        <f t="shared" si="49"/>
        <v>0</v>
      </c>
      <c r="BT17">
        <f t="shared" si="50"/>
        <v>0</v>
      </c>
      <c r="BU17">
        <f t="shared" ca="1" si="51"/>
        <v>0</v>
      </c>
      <c r="BV17">
        <f t="shared" ca="1" si="52"/>
        <v>0</v>
      </c>
      <c r="BW17">
        <f t="shared" ca="1" si="53"/>
        <v>1</v>
      </c>
      <c r="BX17" t="b">
        <f t="shared" si="54"/>
        <v>0</v>
      </c>
      <c r="BY17" s="6" t="b">
        <f t="shared" si="55"/>
        <v>0</v>
      </c>
      <c r="BZ17">
        <f>MATCH(BZ$2,Spieltage!$C$198:$C$206,0)+197</f>
        <v>200</v>
      </c>
      <c r="CA17" t="e">
        <f>MATCH(BZ$2,Spieltage!$E$198:$E$206,0)+197</f>
        <v>#N/A</v>
      </c>
      <c r="CB17">
        <f t="shared" si="56"/>
        <v>200</v>
      </c>
      <c r="CC17">
        <f ca="1">INDIRECT("Spieltage!$F"&amp;'i2'!CB17)</f>
        <v>0</v>
      </c>
      <c r="CD17" s="35" t="s">
        <v>12</v>
      </c>
      <c r="CE17" s="97">
        <f ca="1">INDIRECT("Spieltage!$H"&amp;'i2'!CB17)</f>
        <v>0</v>
      </c>
      <c r="CF17" t="str">
        <f t="shared" si="57"/>
        <v>H</v>
      </c>
      <c r="CG17">
        <f t="shared" si="58"/>
        <v>1</v>
      </c>
      <c r="CH17" t="b">
        <f t="shared" ca="1" si="59"/>
        <v>0</v>
      </c>
      <c r="CI17" t="b">
        <f t="shared" ca="1" si="60"/>
        <v>1</v>
      </c>
      <c r="CJ17" t="b">
        <f t="shared" ca="1" si="61"/>
        <v>0</v>
      </c>
      <c r="CK17">
        <f t="shared" si="62"/>
        <v>0</v>
      </c>
      <c r="CL17">
        <f t="shared" si="63"/>
        <v>0</v>
      </c>
      <c r="CM17">
        <f t="shared" si="64"/>
        <v>0</v>
      </c>
      <c r="CN17">
        <f t="shared" ca="1" si="65"/>
        <v>0</v>
      </c>
      <c r="CO17">
        <f t="shared" ca="1" si="66"/>
        <v>0</v>
      </c>
      <c r="CP17">
        <f t="shared" ca="1" si="67"/>
        <v>1</v>
      </c>
      <c r="CQ17" t="b">
        <f t="shared" si="68"/>
        <v>0</v>
      </c>
      <c r="CR17" s="6" t="b">
        <f t="shared" si="69"/>
        <v>0</v>
      </c>
      <c r="CS17">
        <f>MATCH(CS$2,Spieltage!$C$198:$C$206,0)+197</f>
        <v>202</v>
      </c>
      <c r="CT17" t="e">
        <f>MATCH(CS$2,Spieltage!$E$198:$E$206,0)+197</f>
        <v>#N/A</v>
      </c>
      <c r="CU17">
        <f t="shared" si="70"/>
        <v>202</v>
      </c>
      <c r="CV17">
        <f ca="1">INDIRECT("Spieltage!$F"&amp;'i2'!CU17)</f>
        <v>0</v>
      </c>
      <c r="CW17" s="35" t="s">
        <v>12</v>
      </c>
      <c r="CX17" s="97">
        <f ca="1">INDIRECT("Spieltage!$H"&amp;'i2'!CU17)</f>
        <v>0</v>
      </c>
      <c r="CY17" t="str">
        <f t="shared" si="71"/>
        <v>H</v>
      </c>
      <c r="CZ17">
        <f t="shared" si="72"/>
        <v>1</v>
      </c>
      <c r="DA17" t="b">
        <f t="shared" ca="1" si="73"/>
        <v>0</v>
      </c>
      <c r="DB17" t="b">
        <f t="shared" ca="1" si="74"/>
        <v>1</v>
      </c>
      <c r="DC17" t="b">
        <f t="shared" ca="1" si="75"/>
        <v>0</v>
      </c>
      <c r="DD17">
        <f t="shared" si="76"/>
        <v>0</v>
      </c>
      <c r="DE17">
        <f t="shared" si="77"/>
        <v>0</v>
      </c>
      <c r="DF17">
        <f t="shared" si="78"/>
        <v>0</v>
      </c>
      <c r="DG17">
        <f t="shared" ca="1" si="79"/>
        <v>0</v>
      </c>
      <c r="DH17">
        <f t="shared" ca="1" si="80"/>
        <v>0</v>
      </c>
      <c r="DI17">
        <f t="shared" ca="1" si="81"/>
        <v>1</v>
      </c>
      <c r="DJ17" t="b">
        <f t="shared" si="82"/>
        <v>0</v>
      </c>
      <c r="DK17" s="6" t="b">
        <f t="shared" si="83"/>
        <v>0</v>
      </c>
      <c r="DL17">
        <f>MATCH(DL$2,Spieltage!$C$198:$C$206,0)+197</f>
        <v>201</v>
      </c>
      <c r="DM17" t="e">
        <f>MATCH(DL$2,Spieltage!$E$198:$E$206,0)+197</f>
        <v>#N/A</v>
      </c>
      <c r="DN17">
        <f t="shared" si="84"/>
        <v>201</v>
      </c>
      <c r="DO17">
        <f ca="1">INDIRECT("Spieltage!$F"&amp;'i2'!DN17)</f>
        <v>0</v>
      </c>
      <c r="DP17" s="35" t="s">
        <v>12</v>
      </c>
      <c r="DQ17" s="97">
        <f ca="1">INDIRECT("Spieltage!$H"&amp;'i2'!DN17)</f>
        <v>0</v>
      </c>
      <c r="DR17" t="str">
        <f t="shared" si="85"/>
        <v>H</v>
      </c>
      <c r="DS17">
        <f t="shared" si="86"/>
        <v>1</v>
      </c>
      <c r="DT17" t="b">
        <f t="shared" ca="1" si="87"/>
        <v>0</v>
      </c>
      <c r="DU17" t="b">
        <f t="shared" ca="1" si="88"/>
        <v>1</v>
      </c>
      <c r="DV17" t="b">
        <f t="shared" ca="1" si="89"/>
        <v>0</v>
      </c>
      <c r="DW17">
        <f t="shared" si="90"/>
        <v>0</v>
      </c>
      <c r="DX17">
        <f t="shared" si="91"/>
        <v>0</v>
      </c>
      <c r="DY17">
        <f t="shared" si="92"/>
        <v>0</v>
      </c>
      <c r="DZ17">
        <f t="shared" ca="1" si="93"/>
        <v>0</v>
      </c>
      <c r="EA17">
        <f t="shared" ca="1" si="94"/>
        <v>0</v>
      </c>
      <c r="EB17">
        <f t="shared" ca="1" si="95"/>
        <v>1</v>
      </c>
      <c r="EC17" t="b">
        <f t="shared" si="96"/>
        <v>0</v>
      </c>
      <c r="ED17" s="6" t="b">
        <f t="shared" si="97"/>
        <v>0</v>
      </c>
      <c r="EE17" t="e">
        <f>MATCH(EE$2,Spieltage!$C$198:$C$206,0)+197</f>
        <v>#N/A</v>
      </c>
      <c r="EF17">
        <f>MATCH(EE$2,Spieltage!$E$198:$E$206,0)+197</f>
        <v>200</v>
      </c>
      <c r="EG17">
        <f t="shared" si="98"/>
        <v>200</v>
      </c>
      <c r="EH17">
        <f ca="1">INDIRECT("Spieltage!$F"&amp;'i2'!EG17)</f>
        <v>0</v>
      </c>
      <c r="EI17" s="35" t="s">
        <v>12</v>
      </c>
      <c r="EJ17" s="97">
        <f ca="1">INDIRECT("Spieltage!$H"&amp;'i2'!EG17)</f>
        <v>0</v>
      </c>
      <c r="EK17" t="str">
        <f t="shared" si="99"/>
        <v>A</v>
      </c>
      <c r="EL17">
        <f t="shared" si="100"/>
        <v>2</v>
      </c>
      <c r="EM17">
        <f t="shared" si="101"/>
        <v>0</v>
      </c>
      <c r="EN17">
        <f t="shared" si="102"/>
        <v>0</v>
      </c>
      <c r="EO17">
        <f t="shared" si="103"/>
        <v>0</v>
      </c>
      <c r="EP17" t="b">
        <f t="shared" ca="1" si="104"/>
        <v>0</v>
      </c>
      <c r="EQ17" t="b">
        <f t="shared" ca="1" si="105"/>
        <v>1</v>
      </c>
      <c r="ER17" t="b">
        <f t="shared" ca="1" si="106"/>
        <v>0</v>
      </c>
      <c r="ES17">
        <f t="shared" ca="1" si="107"/>
        <v>0</v>
      </c>
      <c r="ET17" t="b">
        <f t="shared" si="108"/>
        <v>0</v>
      </c>
      <c r="EU17" t="b">
        <f t="shared" si="109"/>
        <v>0</v>
      </c>
      <c r="EV17">
        <f t="shared" ca="1" si="110"/>
        <v>0</v>
      </c>
      <c r="EW17" s="6">
        <f t="shared" ca="1" si="111"/>
        <v>1</v>
      </c>
      <c r="EX17" t="e">
        <f>MATCH(EX$2,Spieltage!$C$198:$C$206,0)+197</f>
        <v>#N/A</v>
      </c>
      <c r="EY17">
        <f>MATCH(EX$2,Spieltage!$E$198:$E$206,0)+197</f>
        <v>198</v>
      </c>
      <c r="EZ17">
        <f t="shared" si="112"/>
        <v>198</v>
      </c>
      <c r="FA17">
        <f ca="1">INDIRECT("Spieltage!$F"&amp;'i2'!EZ17)</f>
        <v>0</v>
      </c>
      <c r="FB17" s="35" t="s">
        <v>12</v>
      </c>
      <c r="FC17" s="97">
        <f ca="1">INDIRECT("Spieltage!$H"&amp;'i2'!EZ17)</f>
        <v>0</v>
      </c>
      <c r="FD17" t="str">
        <f t="shared" si="113"/>
        <v>A</v>
      </c>
      <c r="FE17">
        <f t="shared" si="114"/>
        <v>2</v>
      </c>
      <c r="FF17">
        <f t="shared" si="115"/>
        <v>0</v>
      </c>
      <c r="FG17">
        <f t="shared" si="116"/>
        <v>0</v>
      </c>
      <c r="FH17">
        <f t="shared" si="117"/>
        <v>0</v>
      </c>
      <c r="FI17" t="b">
        <f t="shared" ca="1" si="118"/>
        <v>0</v>
      </c>
      <c r="FJ17" t="b">
        <f t="shared" ca="1" si="119"/>
        <v>1</v>
      </c>
      <c r="FK17" t="b">
        <f t="shared" ca="1" si="120"/>
        <v>0</v>
      </c>
      <c r="FL17">
        <f t="shared" ca="1" si="121"/>
        <v>0</v>
      </c>
      <c r="FM17" t="b">
        <f t="shared" si="122"/>
        <v>0</v>
      </c>
      <c r="FN17" t="b">
        <f t="shared" si="123"/>
        <v>0</v>
      </c>
      <c r="FO17">
        <f t="shared" ca="1" si="124"/>
        <v>0</v>
      </c>
      <c r="FP17" s="6">
        <f t="shared" ca="1" si="125"/>
        <v>1</v>
      </c>
      <c r="FQ17" t="e">
        <f>MATCH(FQ$2,Spieltage!$C$198:$C$206,0)+197</f>
        <v>#N/A</v>
      </c>
      <c r="FR17">
        <f>MATCH(FQ$2,Spieltage!$E$198:$E$206,0)+197</f>
        <v>199</v>
      </c>
      <c r="FS17">
        <f t="shared" si="126"/>
        <v>199</v>
      </c>
      <c r="FT17">
        <f ca="1">INDIRECT("Spieltage!$F"&amp;'i2'!FS17)</f>
        <v>0</v>
      </c>
      <c r="FU17" s="35" t="s">
        <v>12</v>
      </c>
      <c r="FV17" s="97">
        <f ca="1">INDIRECT("Spieltage!$H"&amp;'i2'!FS17)</f>
        <v>0</v>
      </c>
      <c r="FW17" t="str">
        <f t="shared" si="127"/>
        <v>A</v>
      </c>
      <c r="FX17">
        <f t="shared" si="128"/>
        <v>2</v>
      </c>
      <c r="FY17">
        <f t="shared" si="129"/>
        <v>0</v>
      </c>
      <c r="FZ17">
        <f t="shared" si="130"/>
        <v>0</v>
      </c>
      <c r="GA17">
        <f t="shared" si="131"/>
        <v>0</v>
      </c>
      <c r="GB17" t="b">
        <f t="shared" ca="1" si="132"/>
        <v>0</v>
      </c>
      <c r="GC17" t="b">
        <f t="shared" ca="1" si="133"/>
        <v>1</v>
      </c>
      <c r="GD17" t="b">
        <f t="shared" ca="1" si="134"/>
        <v>0</v>
      </c>
      <c r="GE17">
        <f t="shared" ca="1" si="135"/>
        <v>0</v>
      </c>
      <c r="GF17" t="b">
        <f t="shared" si="136"/>
        <v>0</v>
      </c>
      <c r="GG17" t="b">
        <f t="shared" si="137"/>
        <v>0</v>
      </c>
      <c r="GH17">
        <f t="shared" ca="1" si="138"/>
        <v>0</v>
      </c>
      <c r="GI17" s="6">
        <f t="shared" ca="1" si="139"/>
        <v>1</v>
      </c>
      <c r="GJ17">
        <f>MATCH(GJ$2,Spieltage!$C$198:$C$206,0)+197</f>
        <v>203</v>
      </c>
      <c r="GK17" t="e">
        <f>MATCH(GJ$2,Spieltage!$E$198:$E$206,0)+197</f>
        <v>#N/A</v>
      </c>
      <c r="GL17">
        <f t="shared" si="140"/>
        <v>203</v>
      </c>
      <c r="GM17">
        <f ca="1">INDIRECT("Spieltage!$F"&amp;'i2'!GL17)</f>
        <v>0</v>
      </c>
      <c r="GN17" s="35" t="s">
        <v>12</v>
      </c>
      <c r="GO17" s="97">
        <f ca="1">INDIRECT("Spieltage!$H"&amp;'i2'!GL17)</f>
        <v>0</v>
      </c>
      <c r="GP17" t="str">
        <f t="shared" si="141"/>
        <v>H</v>
      </c>
      <c r="GQ17">
        <f t="shared" si="142"/>
        <v>1</v>
      </c>
      <c r="GR17" t="b">
        <f t="shared" ca="1" si="143"/>
        <v>0</v>
      </c>
      <c r="GS17" t="b">
        <f t="shared" ca="1" si="144"/>
        <v>1</v>
      </c>
      <c r="GT17" t="b">
        <f t="shared" ca="1" si="145"/>
        <v>0</v>
      </c>
      <c r="GU17">
        <f t="shared" si="146"/>
        <v>0</v>
      </c>
      <c r="GV17">
        <f t="shared" si="147"/>
        <v>0</v>
      </c>
      <c r="GW17">
        <f t="shared" si="148"/>
        <v>0</v>
      </c>
      <c r="GX17">
        <f t="shared" ca="1" si="149"/>
        <v>0</v>
      </c>
      <c r="GY17">
        <f t="shared" ca="1" si="150"/>
        <v>0</v>
      </c>
      <c r="GZ17">
        <f t="shared" ca="1" si="151"/>
        <v>1</v>
      </c>
      <c r="HA17" t="b">
        <f t="shared" si="152"/>
        <v>0</v>
      </c>
      <c r="HB17" s="6" t="b">
        <f t="shared" si="153"/>
        <v>0</v>
      </c>
      <c r="HC17" t="e">
        <f>MATCH(HC$2,Spieltage!$C$198:$C$206,0)+197</f>
        <v>#N/A</v>
      </c>
      <c r="HD17">
        <f>MATCH(HC$2,Spieltage!$E$198:$E$206,0)+197</f>
        <v>206</v>
      </c>
      <c r="HE17">
        <f t="shared" si="154"/>
        <v>206</v>
      </c>
      <c r="HF17">
        <f ca="1">INDIRECT("Spieltage!$F"&amp;'i2'!HE17)</f>
        <v>0</v>
      </c>
      <c r="HG17" s="35" t="s">
        <v>12</v>
      </c>
      <c r="HH17" s="97">
        <f ca="1">INDIRECT("Spieltage!$H"&amp;'i2'!HE17)</f>
        <v>0</v>
      </c>
      <c r="HI17" t="str">
        <f t="shared" si="155"/>
        <v>A</v>
      </c>
      <c r="HJ17">
        <f t="shared" si="156"/>
        <v>2</v>
      </c>
      <c r="HK17">
        <f t="shared" si="157"/>
        <v>0</v>
      </c>
      <c r="HL17">
        <f t="shared" si="158"/>
        <v>0</v>
      </c>
      <c r="HM17">
        <f t="shared" si="159"/>
        <v>0</v>
      </c>
      <c r="HN17" t="b">
        <f t="shared" ca="1" si="160"/>
        <v>0</v>
      </c>
      <c r="HO17" t="b">
        <f t="shared" ca="1" si="161"/>
        <v>1</v>
      </c>
      <c r="HP17" t="b">
        <f t="shared" ca="1" si="162"/>
        <v>0</v>
      </c>
      <c r="HQ17">
        <f t="shared" ca="1" si="163"/>
        <v>0</v>
      </c>
      <c r="HR17" t="b">
        <f t="shared" si="164"/>
        <v>0</v>
      </c>
      <c r="HS17" t="b">
        <f t="shared" si="165"/>
        <v>0</v>
      </c>
      <c r="HT17">
        <f t="shared" ca="1" si="166"/>
        <v>0</v>
      </c>
      <c r="HU17" s="6">
        <f t="shared" ca="1" si="167"/>
        <v>1</v>
      </c>
      <c r="HV17">
        <f>MATCH(HV$2,Spieltage!$C$198:$C$206,0)+197</f>
        <v>204</v>
      </c>
      <c r="HW17" t="e">
        <f>MATCH(HV$2,Spieltage!$E$198:$E$206,0)+197</f>
        <v>#N/A</v>
      </c>
      <c r="HX17">
        <f t="shared" si="168"/>
        <v>204</v>
      </c>
      <c r="HY17">
        <f ca="1">INDIRECT("Spieltage!$F"&amp;'i2'!HX17)</f>
        <v>0</v>
      </c>
      <c r="HZ17" s="35" t="s">
        <v>12</v>
      </c>
      <c r="IA17" s="97">
        <f ca="1">INDIRECT("Spieltage!$H"&amp;'i2'!HX17)</f>
        <v>0</v>
      </c>
      <c r="IB17" t="str">
        <f t="shared" si="169"/>
        <v>H</v>
      </c>
      <c r="IC17">
        <f t="shared" si="170"/>
        <v>1</v>
      </c>
      <c r="ID17" t="b">
        <f t="shared" ca="1" si="171"/>
        <v>0</v>
      </c>
      <c r="IE17" t="b">
        <f t="shared" ca="1" si="172"/>
        <v>1</v>
      </c>
      <c r="IF17" t="b">
        <f t="shared" ca="1" si="173"/>
        <v>0</v>
      </c>
      <c r="IG17">
        <f t="shared" si="174"/>
        <v>0</v>
      </c>
      <c r="IH17">
        <f t="shared" si="175"/>
        <v>0</v>
      </c>
      <c r="II17">
        <f t="shared" si="176"/>
        <v>0</v>
      </c>
      <c r="IJ17">
        <f t="shared" ca="1" si="177"/>
        <v>0</v>
      </c>
      <c r="IK17">
        <f t="shared" ca="1" si="178"/>
        <v>0</v>
      </c>
      <c r="IL17">
        <f t="shared" ca="1" si="179"/>
        <v>1</v>
      </c>
      <c r="IM17" t="b">
        <f t="shared" si="180"/>
        <v>0</v>
      </c>
      <c r="IN17" s="6" t="b">
        <f t="shared" si="181"/>
        <v>0</v>
      </c>
      <c r="IO17" t="e">
        <f>MATCH(IO$2,Spieltage!$C$198:$C$206,0)+197</f>
        <v>#N/A</v>
      </c>
      <c r="IP17">
        <f>MATCH(IO$2,Spieltage!$E$198:$E$206,0)+197</f>
        <v>202</v>
      </c>
      <c r="IQ17">
        <f t="shared" si="182"/>
        <v>202</v>
      </c>
      <c r="IR17">
        <f ca="1">INDIRECT("Spieltage!$F"&amp;'i2'!IQ17)</f>
        <v>0</v>
      </c>
      <c r="IS17" s="35" t="s">
        <v>12</v>
      </c>
      <c r="IT17" s="97">
        <f ca="1">INDIRECT("Spieltage!$H"&amp;'i2'!IQ17)</f>
        <v>0</v>
      </c>
      <c r="IU17" t="str">
        <f t="shared" si="183"/>
        <v>A</v>
      </c>
      <c r="IV17">
        <f t="shared" si="184"/>
        <v>2</v>
      </c>
      <c r="IW17">
        <f t="shared" si="185"/>
        <v>0</v>
      </c>
      <c r="IX17">
        <f t="shared" si="186"/>
        <v>0</v>
      </c>
      <c r="IY17">
        <f t="shared" si="187"/>
        <v>0</v>
      </c>
      <c r="IZ17" t="b">
        <f t="shared" ca="1" si="188"/>
        <v>0</v>
      </c>
      <c r="JA17" t="b">
        <f t="shared" ca="1" si="189"/>
        <v>1</v>
      </c>
      <c r="JB17" t="b">
        <f t="shared" ca="1" si="190"/>
        <v>0</v>
      </c>
      <c r="JC17">
        <f t="shared" ca="1" si="191"/>
        <v>0</v>
      </c>
      <c r="JD17" t="b">
        <f t="shared" si="192"/>
        <v>0</v>
      </c>
      <c r="JE17" t="b">
        <f t="shared" si="193"/>
        <v>0</v>
      </c>
      <c r="JF17">
        <f t="shared" ca="1" si="194"/>
        <v>0</v>
      </c>
      <c r="JG17" s="6">
        <f t="shared" ca="1" si="195"/>
        <v>1</v>
      </c>
      <c r="JH17">
        <f>MATCH(JH$2,Spieltage!$C$198:$C$206,0)+197</f>
        <v>205</v>
      </c>
      <c r="JI17" t="e">
        <f>MATCH(JH$2,Spieltage!$E$198:$E$206,0)+197</f>
        <v>#N/A</v>
      </c>
      <c r="JJ17">
        <f t="shared" si="196"/>
        <v>205</v>
      </c>
      <c r="JK17">
        <f ca="1">INDIRECT("Spieltage!$F"&amp;'i2'!JJ17)</f>
        <v>0</v>
      </c>
      <c r="JL17" s="35" t="s">
        <v>12</v>
      </c>
      <c r="JM17" s="97">
        <f ca="1">INDIRECT("Spieltage!$H"&amp;'i2'!JJ17)</f>
        <v>0</v>
      </c>
      <c r="JN17" t="str">
        <f t="shared" si="197"/>
        <v>H</v>
      </c>
      <c r="JO17">
        <f t="shared" si="198"/>
        <v>1</v>
      </c>
      <c r="JP17" t="b">
        <f t="shared" ca="1" si="199"/>
        <v>0</v>
      </c>
      <c r="JQ17" t="b">
        <f t="shared" ca="1" si="200"/>
        <v>1</v>
      </c>
      <c r="JR17" t="b">
        <f t="shared" ca="1" si="201"/>
        <v>0</v>
      </c>
      <c r="JS17">
        <f t="shared" si="202"/>
        <v>0</v>
      </c>
      <c r="JT17">
        <f t="shared" si="203"/>
        <v>0</v>
      </c>
      <c r="JU17">
        <f t="shared" si="204"/>
        <v>0</v>
      </c>
      <c r="JV17">
        <f t="shared" ca="1" si="205"/>
        <v>0</v>
      </c>
      <c r="JW17">
        <f t="shared" ca="1" si="206"/>
        <v>0</v>
      </c>
      <c r="JX17">
        <f t="shared" ca="1" si="207"/>
        <v>1</v>
      </c>
      <c r="JY17" t="b">
        <f t="shared" si="208"/>
        <v>0</v>
      </c>
      <c r="JZ17" s="6" t="b">
        <f t="shared" si="209"/>
        <v>0</v>
      </c>
      <c r="KA17" t="e">
        <f>MATCH(KA$2,Spieltage!$C$198:$C$206,0)+197</f>
        <v>#N/A</v>
      </c>
      <c r="KB17">
        <f>MATCH(KA$2,Spieltage!$E$198:$E$206,0)+197</f>
        <v>201</v>
      </c>
      <c r="KC17">
        <f t="shared" si="210"/>
        <v>201</v>
      </c>
      <c r="KD17">
        <f ca="1">INDIRECT("Spieltage!$F"&amp;'i2'!KC17)</f>
        <v>0</v>
      </c>
      <c r="KE17" s="35" t="s">
        <v>12</v>
      </c>
      <c r="KF17" s="97">
        <f ca="1">INDIRECT("Spieltage!$H"&amp;'i2'!KC17)</f>
        <v>0</v>
      </c>
      <c r="KG17" t="str">
        <f t="shared" si="211"/>
        <v>A</v>
      </c>
      <c r="KH17">
        <f t="shared" si="212"/>
        <v>2</v>
      </c>
      <c r="KI17">
        <f t="shared" si="213"/>
        <v>0</v>
      </c>
      <c r="KJ17">
        <f t="shared" si="214"/>
        <v>0</v>
      </c>
      <c r="KK17">
        <f t="shared" si="215"/>
        <v>0</v>
      </c>
      <c r="KL17" t="b">
        <f t="shared" ca="1" si="216"/>
        <v>0</v>
      </c>
      <c r="KM17" t="b">
        <f t="shared" ca="1" si="217"/>
        <v>1</v>
      </c>
      <c r="KN17" t="b">
        <f t="shared" ca="1" si="218"/>
        <v>0</v>
      </c>
      <c r="KO17">
        <f t="shared" ca="1" si="219"/>
        <v>0</v>
      </c>
      <c r="KP17" t="b">
        <f t="shared" si="220"/>
        <v>0</v>
      </c>
      <c r="KQ17" t="b">
        <f t="shared" si="221"/>
        <v>0</v>
      </c>
      <c r="KR17">
        <f t="shared" ca="1" si="222"/>
        <v>0</v>
      </c>
      <c r="KS17" s="6">
        <f t="shared" ca="1" si="223"/>
        <v>1</v>
      </c>
      <c r="KT17" t="e">
        <f>MATCH(KT$2,Spieltage!$C$198:$C$206,0)+197</f>
        <v>#N/A</v>
      </c>
      <c r="KU17">
        <f>MATCH(KT$2,Spieltage!$E$198:$E$206,0)+197</f>
        <v>205</v>
      </c>
      <c r="KV17">
        <f t="shared" si="224"/>
        <v>205</v>
      </c>
      <c r="KW17">
        <f ca="1">INDIRECT("Spieltage!$F"&amp;'i2'!KV17)</f>
        <v>0</v>
      </c>
      <c r="KX17" s="35" t="s">
        <v>12</v>
      </c>
      <c r="KY17" s="97">
        <f ca="1">INDIRECT("Spieltage!$H"&amp;'i2'!KV17)</f>
        <v>0</v>
      </c>
      <c r="KZ17" t="str">
        <f t="shared" si="225"/>
        <v>A</v>
      </c>
      <c r="LA17">
        <f t="shared" si="226"/>
        <v>2</v>
      </c>
      <c r="LB17">
        <f t="shared" si="227"/>
        <v>0</v>
      </c>
      <c r="LC17">
        <f t="shared" si="228"/>
        <v>0</v>
      </c>
      <c r="LD17">
        <f t="shared" si="229"/>
        <v>0</v>
      </c>
      <c r="LE17" t="b">
        <f t="shared" ca="1" si="230"/>
        <v>0</v>
      </c>
      <c r="LF17" t="b">
        <f t="shared" ca="1" si="231"/>
        <v>1</v>
      </c>
      <c r="LG17" t="b">
        <f t="shared" ca="1" si="232"/>
        <v>0</v>
      </c>
      <c r="LH17">
        <f t="shared" ca="1" si="233"/>
        <v>0</v>
      </c>
      <c r="LI17" t="b">
        <f t="shared" si="234"/>
        <v>0</v>
      </c>
      <c r="LJ17" t="b">
        <f t="shared" si="235"/>
        <v>0</v>
      </c>
      <c r="LK17">
        <f t="shared" ca="1" si="236"/>
        <v>0</v>
      </c>
      <c r="LL17" s="6">
        <f t="shared" ca="1" si="237"/>
        <v>1</v>
      </c>
      <c r="LM17" t="e">
        <f>MATCH(LM$2,Spieltage!$C$198:$C$206,0)+197</f>
        <v>#N/A</v>
      </c>
      <c r="LN17">
        <f>MATCH(LM$2,Spieltage!$E$198:$E$206,0)+197</f>
        <v>203</v>
      </c>
      <c r="LO17">
        <f t="shared" si="238"/>
        <v>203</v>
      </c>
      <c r="LP17">
        <f ca="1">INDIRECT("Spieltage!$F"&amp;'i2'!LO17)</f>
        <v>0</v>
      </c>
      <c r="LQ17" s="35" t="s">
        <v>12</v>
      </c>
      <c r="LR17" s="97">
        <f ca="1">INDIRECT("Spieltage!$H"&amp;'i2'!LO17)</f>
        <v>0</v>
      </c>
      <c r="LS17" t="str">
        <f t="shared" si="239"/>
        <v>A</v>
      </c>
      <c r="LT17">
        <f t="shared" si="240"/>
        <v>2</v>
      </c>
      <c r="LU17">
        <f t="shared" si="241"/>
        <v>0</v>
      </c>
      <c r="LV17">
        <f t="shared" si="242"/>
        <v>0</v>
      </c>
      <c r="LW17">
        <f t="shared" si="243"/>
        <v>0</v>
      </c>
      <c r="LX17" t="b">
        <f t="shared" ca="1" si="244"/>
        <v>0</v>
      </c>
      <c r="LY17" t="b">
        <f t="shared" ca="1" si="245"/>
        <v>1</v>
      </c>
      <c r="LZ17" t="b">
        <f t="shared" ca="1" si="246"/>
        <v>0</v>
      </c>
      <c r="MA17">
        <f t="shared" ca="1" si="247"/>
        <v>0</v>
      </c>
      <c r="MB17" t="b">
        <f t="shared" si="248"/>
        <v>0</v>
      </c>
      <c r="MC17" t="b">
        <f t="shared" si="249"/>
        <v>0</v>
      </c>
      <c r="MD17">
        <f t="shared" ca="1" si="250"/>
        <v>0</v>
      </c>
      <c r="ME17" s="6">
        <f t="shared" ca="1" si="251"/>
        <v>1</v>
      </c>
    </row>
    <row r="18" spans="1:343" x14ac:dyDescent="0.2">
      <c r="A18" s="104" t="s">
        <v>226</v>
      </c>
      <c r="B18" t="e">
        <f>MATCH(B$2,Spieltage!$C$213:$C$221,0)+212</f>
        <v>#N/A</v>
      </c>
      <c r="C18">
        <f>MATCH(B$2,Spieltage!$E$213:$E$221,0)+212</f>
        <v>219</v>
      </c>
      <c r="D18">
        <f t="shared" si="0"/>
        <v>219</v>
      </c>
      <c r="E18">
        <f ca="1">INDIRECT("Spieltage!$F"&amp;'i2'!D18)</f>
        <v>0</v>
      </c>
      <c r="F18" s="35" t="s">
        <v>12</v>
      </c>
      <c r="G18" s="97">
        <f ca="1">INDIRECT("Spieltage!$H"&amp;'i2'!D18)</f>
        <v>0</v>
      </c>
      <c r="H18" t="str">
        <f t="shared" si="1"/>
        <v>A</v>
      </c>
      <c r="I18">
        <f t="shared" si="2"/>
        <v>2</v>
      </c>
      <c r="J18">
        <f t="shared" si="3"/>
        <v>0</v>
      </c>
      <c r="K18">
        <f t="shared" si="4"/>
        <v>0</v>
      </c>
      <c r="L18">
        <f t="shared" si="5"/>
        <v>0</v>
      </c>
      <c r="M18" t="b">
        <f t="shared" ca="1" si="6"/>
        <v>0</v>
      </c>
      <c r="N18" t="b">
        <f t="shared" ca="1" si="7"/>
        <v>1</v>
      </c>
      <c r="O18" t="b">
        <f t="shared" ca="1" si="8"/>
        <v>0</v>
      </c>
      <c r="P18">
        <f t="shared" ca="1" si="9"/>
        <v>0</v>
      </c>
      <c r="Q18" t="b">
        <f t="shared" si="10"/>
        <v>0</v>
      </c>
      <c r="R18" t="b">
        <f t="shared" si="11"/>
        <v>0</v>
      </c>
      <c r="S18">
        <f t="shared" ca="1" si="12"/>
        <v>0</v>
      </c>
      <c r="T18" s="6">
        <f t="shared" ca="1" si="13"/>
        <v>1</v>
      </c>
      <c r="U18">
        <f>MATCH(U$2,Spieltage!$C$213:$C$221,0)+212</f>
        <v>215</v>
      </c>
      <c r="V18" t="e">
        <f>MATCH(U$2,Spieltage!$E$213:$E$221,0)+212</f>
        <v>#N/A</v>
      </c>
      <c r="W18">
        <f t="shared" si="14"/>
        <v>215</v>
      </c>
      <c r="X18">
        <f ca="1">INDIRECT("Spieltage!$F"&amp;'i2'!W18)</f>
        <v>0</v>
      </c>
      <c r="Y18" s="35" t="s">
        <v>12</v>
      </c>
      <c r="Z18" s="97">
        <f ca="1">INDIRECT("Spieltage!$H"&amp;'i2'!W18)</f>
        <v>0</v>
      </c>
      <c r="AA18" t="str">
        <f t="shared" si="15"/>
        <v>H</v>
      </c>
      <c r="AB18">
        <f t="shared" si="16"/>
        <v>1</v>
      </c>
      <c r="AC18" t="b">
        <f t="shared" ca="1" si="17"/>
        <v>0</v>
      </c>
      <c r="AD18" t="b">
        <f t="shared" ca="1" si="18"/>
        <v>1</v>
      </c>
      <c r="AE18" t="b">
        <f t="shared" ca="1" si="19"/>
        <v>0</v>
      </c>
      <c r="AF18">
        <f t="shared" si="20"/>
        <v>0</v>
      </c>
      <c r="AG18">
        <f t="shared" si="21"/>
        <v>0</v>
      </c>
      <c r="AH18">
        <f t="shared" si="22"/>
        <v>0</v>
      </c>
      <c r="AI18">
        <f t="shared" ca="1" si="23"/>
        <v>0</v>
      </c>
      <c r="AJ18">
        <f t="shared" ca="1" si="24"/>
        <v>0</v>
      </c>
      <c r="AK18">
        <f t="shared" ca="1" si="25"/>
        <v>1</v>
      </c>
      <c r="AL18" t="b">
        <f t="shared" si="26"/>
        <v>0</v>
      </c>
      <c r="AM18" s="6" t="b">
        <f t="shared" si="27"/>
        <v>0</v>
      </c>
      <c r="AN18" t="e">
        <f>MATCH(AN$2,Spieltage!$C$213:$C$221,0)+212</f>
        <v>#N/A</v>
      </c>
      <c r="AO18">
        <f>MATCH(AN$2,Spieltage!$E$213:$E$221,0)+212</f>
        <v>215</v>
      </c>
      <c r="AP18">
        <f t="shared" si="28"/>
        <v>215</v>
      </c>
      <c r="AQ18">
        <f ca="1">INDIRECT("Spieltage!$F"&amp;'i2'!AP18)</f>
        <v>0</v>
      </c>
      <c r="AR18" s="35" t="s">
        <v>12</v>
      </c>
      <c r="AS18" s="97">
        <f ca="1">INDIRECT("Spieltage!$H"&amp;'i2'!AP18)</f>
        <v>0</v>
      </c>
      <c r="AT18" t="str">
        <f t="shared" si="29"/>
        <v>A</v>
      </c>
      <c r="AU18">
        <f t="shared" si="30"/>
        <v>2</v>
      </c>
      <c r="AV18">
        <f t="shared" si="31"/>
        <v>0</v>
      </c>
      <c r="AW18">
        <f t="shared" si="32"/>
        <v>0</v>
      </c>
      <c r="AX18">
        <f t="shared" si="33"/>
        <v>0</v>
      </c>
      <c r="AY18" t="b">
        <f t="shared" ca="1" si="34"/>
        <v>0</v>
      </c>
      <c r="AZ18" t="b">
        <f t="shared" ca="1" si="35"/>
        <v>1</v>
      </c>
      <c r="BA18" t="b">
        <f t="shared" ca="1" si="36"/>
        <v>0</v>
      </c>
      <c r="BB18">
        <f t="shared" ca="1" si="37"/>
        <v>0</v>
      </c>
      <c r="BC18" t="b">
        <f t="shared" si="38"/>
        <v>0</v>
      </c>
      <c r="BD18" t="b">
        <f t="shared" si="39"/>
        <v>0</v>
      </c>
      <c r="BE18">
        <f t="shared" ca="1" si="40"/>
        <v>0</v>
      </c>
      <c r="BF18" s="6">
        <f t="shared" ca="1" si="41"/>
        <v>1</v>
      </c>
      <c r="BG18" t="e">
        <f>MATCH(BG$2,Spieltage!$C$213:$C$221,0)+212</f>
        <v>#N/A</v>
      </c>
      <c r="BH18">
        <f>MATCH(BG$2,Spieltage!$E$213:$E$221,0)+212</f>
        <v>216</v>
      </c>
      <c r="BI18">
        <f t="shared" si="42"/>
        <v>216</v>
      </c>
      <c r="BJ18">
        <f ca="1">INDIRECT("Spieltage!$F"&amp;'i2'!BI18)</f>
        <v>0</v>
      </c>
      <c r="BK18" s="35" t="s">
        <v>12</v>
      </c>
      <c r="BL18" s="97">
        <f ca="1">INDIRECT("Spieltage!$H"&amp;'i2'!BI18)</f>
        <v>0</v>
      </c>
      <c r="BM18" t="str">
        <f t="shared" si="43"/>
        <v>A</v>
      </c>
      <c r="BN18">
        <f t="shared" si="44"/>
        <v>2</v>
      </c>
      <c r="BO18">
        <f t="shared" si="45"/>
        <v>0</v>
      </c>
      <c r="BP18">
        <f t="shared" si="46"/>
        <v>0</v>
      </c>
      <c r="BQ18">
        <f t="shared" si="47"/>
        <v>0</v>
      </c>
      <c r="BR18" t="b">
        <f t="shared" ca="1" si="48"/>
        <v>0</v>
      </c>
      <c r="BS18" t="b">
        <f t="shared" ca="1" si="49"/>
        <v>1</v>
      </c>
      <c r="BT18" t="b">
        <f t="shared" ca="1" si="50"/>
        <v>0</v>
      </c>
      <c r="BU18">
        <f t="shared" ca="1" si="51"/>
        <v>0</v>
      </c>
      <c r="BV18" t="b">
        <f t="shared" si="52"/>
        <v>0</v>
      </c>
      <c r="BW18" t="b">
        <f t="shared" si="53"/>
        <v>0</v>
      </c>
      <c r="BX18">
        <f t="shared" ca="1" si="54"/>
        <v>0</v>
      </c>
      <c r="BY18" s="6">
        <f t="shared" ca="1" si="55"/>
        <v>1</v>
      </c>
      <c r="BZ18" t="e">
        <f>MATCH(BZ$2,Spieltage!$C$213:$C$221,0)+212</f>
        <v>#N/A</v>
      </c>
      <c r="CA18">
        <f>MATCH(BZ$2,Spieltage!$E$213:$E$221,0)+212</f>
        <v>221</v>
      </c>
      <c r="CB18">
        <f t="shared" si="56"/>
        <v>221</v>
      </c>
      <c r="CC18">
        <f ca="1">INDIRECT("Spieltage!$F"&amp;'i2'!CB18)</f>
        <v>0</v>
      </c>
      <c r="CD18" s="35" t="s">
        <v>12</v>
      </c>
      <c r="CE18" s="97">
        <f ca="1">INDIRECT("Spieltage!$H"&amp;'i2'!CB18)</f>
        <v>0</v>
      </c>
      <c r="CF18" t="str">
        <f t="shared" si="57"/>
        <v>A</v>
      </c>
      <c r="CG18">
        <f t="shared" si="58"/>
        <v>2</v>
      </c>
      <c r="CH18">
        <f t="shared" si="59"/>
        <v>0</v>
      </c>
      <c r="CI18">
        <f t="shared" si="60"/>
        <v>0</v>
      </c>
      <c r="CJ18">
        <f t="shared" si="61"/>
        <v>0</v>
      </c>
      <c r="CK18" t="b">
        <f t="shared" ca="1" si="62"/>
        <v>0</v>
      </c>
      <c r="CL18" t="b">
        <f t="shared" ca="1" si="63"/>
        <v>1</v>
      </c>
      <c r="CM18" t="b">
        <f t="shared" ca="1" si="64"/>
        <v>0</v>
      </c>
      <c r="CN18">
        <f t="shared" ca="1" si="65"/>
        <v>0</v>
      </c>
      <c r="CO18" t="b">
        <f t="shared" si="66"/>
        <v>0</v>
      </c>
      <c r="CP18" t="b">
        <f t="shared" si="67"/>
        <v>0</v>
      </c>
      <c r="CQ18">
        <f t="shared" ca="1" si="68"/>
        <v>0</v>
      </c>
      <c r="CR18" s="6">
        <f t="shared" ca="1" si="69"/>
        <v>1</v>
      </c>
      <c r="CS18" t="e">
        <f>MATCH(CS$2,Spieltage!$C$213:$C$221,0)+212</f>
        <v>#N/A</v>
      </c>
      <c r="CT18">
        <f>MATCH(CS$2,Spieltage!$E$213:$E$221,0)+212</f>
        <v>218</v>
      </c>
      <c r="CU18">
        <f t="shared" si="70"/>
        <v>218</v>
      </c>
      <c r="CV18">
        <f ca="1">INDIRECT("Spieltage!$F"&amp;'i2'!CU18)</f>
        <v>0</v>
      </c>
      <c r="CW18" s="35" t="s">
        <v>12</v>
      </c>
      <c r="CX18" s="97">
        <f ca="1">INDIRECT("Spieltage!$H"&amp;'i2'!CU18)</f>
        <v>0</v>
      </c>
      <c r="CY18" t="str">
        <f t="shared" si="71"/>
        <v>A</v>
      </c>
      <c r="CZ18">
        <f t="shared" si="72"/>
        <v>2</v>
      </c>
      <c r="DA18">
        <f t="shared" si="73"/>
        <v>0</v>
      </c>
      <c r="DB18">
        <f t="shared" si="74"/>
        <v>0</v>
      </c>
      <c r="DC18">
        <f t="shared" si="75"/>
        <v>0</v>
      </c>
      <c r="DD18" t="b">
        <f t="shared" ca="1" si="76"/>
        <v>0</v>
      </c>
      <c r="DE18" t="b">
        <f t="shared" ca="1" si="77"/>
        <v>1</v>
      </c>
      <c r="DF18" t="b">
        <f t="shared" ca="1" si="78"/>
        <v>0</v>
      </c>
      <c r="DG18">
        <f t="shared" ca="1" si="79"/>
        <v>0</v>
      </c>
      <c r="DH18" t="b">
        <f t="shared" si="80"/>
        <v>0</v>
      </c>
      <c r="DI18" t="b">
        <f t="shared" si="81"/>
        <v>0</v>
      </c>
      <c r="DJ18">
        <f t="shared" ca="1" si="82"/>
        <v>0</v>
      </c>
      <c r="DK18" s="6">
        <f t="shared" ca="1" si="83"/>
        <v>1</v>
      </c>
      <c r="DL18" t="e">
        <f>MATCH(DL$2,Spieltage!$C$213:$C$221,0)+212</f>
        <v>#N/A</v>
      </c>
      <c r="DM18">
        <f>MATCH(DL$2,Spieltage!$E$213:$E$221,0)+212</f>
        <v>217</v>
      </c>
      <c r="DN18">
        <f t="shared" si="84"/>
        <v>217</v>
      </c>
      <c r="DO18">
        <f ca="1">INDIRECT("Spieltage!$F"&amp;'i2'!DN18)</f>
        <v>0</v>
      </c>
      <c r="DP18" s="35" t="s">
        <v>12</v>
      </c>
      <c r="DQ18" s="97">
        <f ca="1">INDIRECT("Spieltage!$H"&amp;'i2'!DN18)</f>
        <v>0</v>
      </c>
      <c r="DR18" t="str">
        <f t="shared" si="85"/>
        <v>A</v>
      </c>
      <c r="DS18">
        <f t="shared" si="86"/>
        <v>2</v>
      </c>
      <c r="DT18">
        <f t="shared" si="87"/>
        <v>0</v>
      </c>
      <c r="DU18">
        <f t="shared" si="88"/>
        <v>0</v>
      </c>
      <c r="DV18">
        <f t="shared" si="89"/>
        <v>0</v>
      </c>
      <c r="DW18" t="b">
        <f t="shared" ca="1" si="90"/>
        <v>0</v>
      </c>
      <c r="DX18" t="b">
        <f t="shared" ca="1" si="91"/>
        <v>1</v>
      </c>
      <c r="DY18" t="b">
        <f t="shared" ca="1" si="92"/>
        <v>0</v>
      </c>
      <c r="DZ18">
        <f t="shared" ca="1" si="93"/>
        <v>0</v>
      </c>
      <c r="EA18" t="b">
        <f t="shared" si="94"/>
        <v>0</v>
      </c>
      <c r="EB18" t="b">
        <f t="shared" si="95"/>
        <v>0</v>
      </c>
      <c r="EC18">
        <f t="shared" ca="1" si="96"/>
        <v>0</v>
      </c>
      <c r="ED18" s="6">
        <f t="shared" ca="1" si="97"/>
        <v>1</v>
      </c>
      <c r="EE18">
        <f>MATCH(EE$2,Spieltage!$C$213:$C$221,0)+212</f>
        <v>218</v>
      </c>
      <c r="EF18" t="e">
        <f>MATCH(EE$2,Spieltage!$E$213:$E$221,0)+212</f>
        <v>#N/A</v>
      </c>
      <c r="EG18">
        <f t="shared" si="98"/>
        <v>218</v>
      </c>
      <c r="EH18">
        <f ca="1">INDIRECT("Spieltage!$F"&amp;'i2'!EG18)</f>
        <v>0</v>
      </c>
      <c r="EI18" s="35" t="s">
        <v>12</v>
      </c>
      <c r="EJ18" s="97">
        <f ca="1">INDIRECT("Spieltage!$H"&amp;'i2'!EG18)</f>
        <v>0</v>
      </c>
      <c r="EK18" t="str">
        <f t="shared" si="99"/>
        <v>H</v>
      </c>
      <c r="EL18">
        <f t="shared" si="100"/>
        <v>1</v>
      </c>
      <c r="EM18" t="b">
        <f t="shared" ca="1" si="101"/>
        <v>0</v>
      </c>
      <c r="EN18" t="b">
        <f t="shared" ca="1" si="102"/>
        <v>1</v>
      </c>
      <c r="EO18" t="b">
        <f t="shared" ca="1" si="103"/>
        <v>0</v>
      </c>
      <c r="EP18">
        <f t="shared" si="104"/>
        <v>0</v>
      </c>
      <c r="EQ18">
        <f t="shared" si="105"/>
        <v>0</v>
      </c>
      <c r="ER18">
        <f t="shared" si="106"/>
        <v>0</v>
      </c>
      <c r="ES18">
        <f t="shared" ca="1" si="107"/>
        <v>0</v>
      </c>
      <c r="ET18">
        <f t="shared" ca="1" si="108"/>
        <v>0</v>
      </c>
      <c r="EU18">
        <f t="shared" ca="1" si="109"/>
        <v>1</v>
      </c>
      <c r="EV18" t="b">
        <f t="shared" si="110"/>
        <v>0</v>
      </c>
      <c r="EW18" s="6" t="b">
        <f t="shared" si="111"/>
        <v>0</v>
      </c>
      <c r="EX18">
        <f>MATCH(EX$2,Spieltage!$C$213:$C$221,0)+212</f>
        <v>214</v>
      </c>
      <c r="EY18" t="e">
        <f>MATCH(EX$2,Spieltage!$E$213:$E$221,0)+212</f>
        <v>#N/A</v>
      </c>
      <c r="EZ18">
        <f t="shared" si="112"/>
        <v>214</v>
      </c>
      <c r="FA18">
        <f ca="1">INDIRECT("Spieltage!$F"&amp;'i2'!EZ18)</f>
        <v>0</v>
      </c>
      <c r="FB18" s="35" t="s">
        <v>12</v>
      </c>
      <c r="FC18" s="97">
        <f ca="1">INDIRECT("Spieltage!$H"&amp;'i2'!EZ18)</f>
        <v>0</v>
      </c>
      <c r="FD18" t="str">
        <f t="shared" si="113"/>
        <v>H</v>
      </c>
      <c r="FE18">
        <f t="shared" si="114"/>
        <v>1</v>
      </c>
      <c r="FF18" t="b">
        <f t="shared" ca="1" si="115"/>
        <v>0</v>
      </c>
      <c r="FG18" t="b">
        <f t="shared" ca="1" si="116"/>
        <v>1</v>
      </c>
      <c r="FH18" t="b">
        <f t="shared" ca="1" si="117"/>
        <v>0</v>
      </c>
      <c r="FI18">
        <f t="shared" si="118"/>
        <v>0</v>
      </c>
      <c r="FJ18">
        <f t="shared" si="119"/>
        <v>0</v>
      </c>
      <c r="FK18">
        <f t="shared" si="120"/>
        <v>0</v>
      </c>
      <c r="FL18">
        <f t="shared" ca="1" si="121"/>
        <v>0</v>
      </c>
      <c r="FM18">
        <f t="shared" ca="1" si="122"/>
        <v>0</v>
      </c>
      <c r="FN18">
        <f t="shared" ca="1" si="123"/>
        <v>1</v>
      </c>
      <c r="FO18" t="b">
        <f t="shared" si="124"/>
        <v>0</v>
      </c>
      <c r="FP18" s="6" t="b">
        <f t="shared" si="125"/>
        <v>0</v>
      </c>
      <c r="FQ18">
        <f>MATCH(FQ$2,Spieltage!$C$213:$C$221,0)+212</f>
        <v>220</v>
      </c>
      <c r="FR18" t="e">
        <f>MATCH(FQ$2,Spieltage!$E$213:$E$221,0)+212</f>
        <v>#N/A</v>
      </c>
      <c r="FS18">
        <f t="shared" si="126"/>
        <v>220</v>
      </c>
      <c r="FT18">
        <f ca="1">INDIRECT("Spieltage!$F"&amp;'i2'!FS18)</f>
        <v>0</v>
      </c>
      <c r="FU18" s="35" t="s">
        <v>12</v>
      </c>
      <c r="FV18" s="97">
        <f ca="1">INDIRECT("Spieltage!$H"&amp;'i2'!FS18)</f>
        <v>0</v>
      </c>
      <c r="FW18" t="str">
        <f t="shared" si="127"/>
        <v>H</v>
      </c>
      <c r="FX18">
        <f t="shared" si="128"/>
        <v>1</v>
      </c>
      <c r="FY18" t="b">
        <f t="shared" ca="1" si="129"/>
        <v>0</v>
      </c>
      <c r="FZ18" t="b">
        <f t="shared" ca="1" si="130"/>
        <v>1</v>
      </c>
      <c r="GA18" t="b">
        <f t="shared" ca="1" si="131"/>
        <v>0</v>
      </c>
      <c r="GB18">
        <f t="shared" si="132"/>
        <v>0</v>
      </c>
      <c r="GC18">
        <f t="shared" si="133"/>
        <v>0</v>
      </c>
      <c r="GD18">
        <f t="shared" si="134"/>
        <v>0</v>
      </c>
      <c r="GE18">
        <f t="shared" ca="1" si="135"/>
        <v>0</v>
      </c>
      <c r="GF18">
        <f t="shared" ca="1" si="136"/>
        <v>0</v>
      </c>
      <c r="GG18">
        <f t="shared" ca="1" si="137"/>
        <v>1</v>
      </c>
      <c r="GH18" t="b">
        <f t="shared" si="138"/>
        <v>0</v>
      </c>
      <c r="GI18" s="6" t="b">
        <f t="shared" si="139"/>
        <v>0</v>
      </c>
      <c r="GJ18" t="e">
        <f>MATCH(GJ$2,Spieltage!$C$213:$C$221,0)+212</f>
        <v>#N/A</v>
      </c>
      <c r="GK18">
        <f>MATCH(GJ$2,Spieltage!$E$213:$E$221,0)+212</f>
        <v>213</v>
      </c>
      <c r="GL18">
        <f t="shared" si="140"/>
        <v>213</v>
      </c>
      <c r="GM18">
        <f ca="1">INDIRECT("Spieltage!$F"&amp;'i2'!GL18)</f>
        <v>0</v>
      </c>
      <c r="GN18" s="35" t="s">
        <v>12</v>
      </c>
      <c r="GO18" s="97">
        <f ca="1">INDIRECT("Spieltage!$H"&amp;'i2'!GL18)</f>
        <v>0</v>
      </c>
      <c r="GP18" t="str">
        <f t="shared" si="141"/>
        <v>A</v>
      </c>
      <c r="GQ18">
        <f t="shared" si="142"/>
        <v>2</v>
      </c>
      <c r="GR18">
        <f t="shared" si="143"/>
        <v>0</v>
      </c>
      <c r="GS18">
        <f t="shared" si="144"/>
        <v>0</v>
      </c>
      <c r="GT18">
        <f t="shared" si="145"/>
        <v>0</v>
      </c>
      <c r="GU18" t="b">
        <f t="shared" ca="1" si="146"/>
        <v>0</v>
      </c>
      <c r="GV18" t="b">
        <f t="shared" ca="1" si="147"/>
        <v>1</v>
      </c>
      <c r="GW18" t="b">
        <f t="shared" ca="1" si="148"/>
        <v>0</v>
      </c>
      <c r="GX18">
        <f t="shared" ca="1" si="149"/>
        <v>0</v>
      </c>
      <c r="GY18" t="b">
        <f t="shared" si="150"/>
        <v>0</v>
      </c>
      <c r="GZ18" t="b">
        <f t="shared" si="151"/>
        <v>0</v>
      </c>
      <c r="HA18">
        <f t="shared" ca="1" si="152"/>
        <v>0</v>
      </c>
      <c r="HB18" s="6">
        <f t="shared" ca="1" si="153"/>
        <v>1</v>
      </c>
      <c r="HC18">
        <f>MATCH(HC$2,Spieltage!$C$213:$C$221,0)+212</f>
        <v>221</v>
      </c>
      <c r="HD18" t="e">
        <f>MATCH(HC$2,Spieltage!$E$213:$E$221,0)+212</f>
        <v>#N/A</v>
      </c>
      <c r="HE18">
        <f t="shared" si="154"/>
        <v>221</v>
      </c>
      <c r="HF18">
        <f ca="1">INDIRECT("Spieltage!$F"&amp;'i2'!HE18)</f>
        <v>0</v>
      </c>
      <c r="HG18" s="35" t="s">
        <v>12</v>
      </c>
      <c r="HH18" s="97">
        <f ca="1">INDIRECT("Spieltage!$H"&amp;'i2'!HE18)</f>
        <v>0</v>
      </c>
      <c r="HI18" t="str">
        <f t="shared" si="155"/>
        <v>H</v>
      </c>
      <c r="HJ18">
        <f t="shared" si="156"/>
        <v>1</v>
      </c>
      <c r="HK18" t="b">
        <f t="shared" ca="1" si="157"/>
        <v>0</v>
      </c>
      <c r="HL18" t="b">
        <f t="shared" ca="1" si="158"/>
        <v>1</v>
      </c>
      <c r="HM18" t="b">
        <f t="shared" ca="1" si="159"/>
        <v>0</v>
      </c>
      <c r="HN18">
        <f t="shared" si="160"/>
        <v>0</v>
      </c>
      <c r="HO18">
        <f t="shared" si="161"/>
        <v>0</v>
      </c>
      <c r="HP18">
        <f t="shared" si="162"/>
        <v>0</v>
      </c>
      <c r="HQ18">
        <f t="shared" ca="1" si="163"/>
        <v>0</v>
      </c>
      <c r="HR18">
        <f t="shared" ca="1" si="164"/>
        <v>0</v>
      </c>
      <c r="HS18">
        <f t="shared" ca="1" si="165"/>
        <v>1</v>
      </c>
      <c r="HT18" t="b">
        <f t="shared" si="166"/>
        <v>0</v>
      </c>
      <c r="HU18" s="6" t="b">
        <f t="shared" si="167"/>
        <v>0</v>
      </c>
      <c r="HV18" t="e">
        <f>MATCH(HV$2,Spieltage!$C$213:$C$221,0)+212</f>
        <v>#N/A</v>
      </c>
      <c r="HW18">
        <f>MATCH(HV$2,Spieltage!$E$213:$E$221,0)+212</f>
        <v>220</v>
      </c>
      <c r="HX18">
        <f t="shared" si="168"/>
        <v>220</v>
      </c>
      <c r="HY18">
        <f ca="1">INDIRECT("Spieltage!$F"&amp;'i2'!HX18)</f>
        <v>0</v>
      </c>
      <c r="HZ18" s="35" t="s">
        <v>12</v>
      </c>
      <c r="IA18" s="97">
        <f ca="1">INDIRECT("Spieltage!$H"&amp;'i2'!HX18)</f>
        <v>0</v>
      </c>
      <c r="IB18" t="str">
        <f t="shared" si="169"/>
        <v>A</v>
      </c>
      <c r="IC18">
        <f t="shared" si="170"/>
        <v>2</v>
      </c>
      <c r="ID18">
        <f t="shared" si="171"/>
        <v>0</v>
      </c>
      <c r="IE18">
        <f t="shared" si="172"/>
        <v>0</v>
      </c>
      <c r="IF18">
        <f t="shared" si="173"/>
        <v>0</v>
      </c>
      <c r="IG18" t="b">
        <f t="shared" ca="1" si="174"/>
        <v>0</v>
      </c>
      <c r="IH18" t="b">
        <f t="shared" ca="1" si="175"/>
        <v>1</v>
      </c>
      <c r="II18" t="b">
        <f t="shared" ca="1" si="176"/>
        <v>0</v>
      </c>
      <c r="IJ18">
        <f t="shared" ca="1" si="177"/>
        <v>0</v>
      </c>
      <c r="IK18" t="b">
        <f t="shared" si="178"/>
        <v>0</v>
      </c>
      <c r="IL18" t="b">
        <f t="shared" si="179"/>
        <v>0</v>
      </c>
      <c r="IM18">
        <f t="shared" ca="1" si="180"/>
        <v>0</v>
      </c>
      <c r="IN18" s="6">
        <f t="shared" ca="1" si="181"/>
        <v>1</v>
      </c>
      <c r="IO18">
        <f>MATCH(IO$2,Spieltage!$C$213:$C$221,0)+212</f>
        <v>216</v>
      </c>
      <c r="IP18" t="e">
        <f>MATCH(IO$2,Spieltage!$E$213:$E$221,0)+212</f>
        <v>#N/A</v>
      </c>
      <c r="IQ18">
        <f t="shared" si="182"/>
        <v>216</v>
      </c>
      <c r="IR18">
        <f ca="1">INDIRECT("Spieltage!$F"&amp;'i2'!IQ18)</f>
        <v>0</v>
      </c>
      <c r="IS18" s="35" t="s">
        <v>12</v>
      </c>
      <c r="IT18" s="97">
        <f ca="1">INDIRECT("Spieltage!$H"&amp;'i2'!IQ18)</f>
        <v>0</v>
      </c>
      <c r="IU18" t="str">
        <f t="shared" si="183"/>
        <v>H</v>
      </c>
      <c r="IV18">
        <f t="shared" si="184"/>
        <v>1</v>
      </c>
      <c r="IW18" t="b">
        <f t="shared" ca="1" si="185"/>
        <v>0</v>
      </c>
      <c r="IX18" t="b">
        <f t="shared" ca="1" si="186"/>
        <v>1</v>
      </c>
      <c r="IY18" t="b">
        <f t="shared" ca="1" si="187"/>
        <v>0</v>
      </c>
      <c r="IZ18">
        <f t="shared" si="188"/>
        <v>0</v>
      </c>
      <c r="JA18">
        <f t="shared" si="189"/>
        <v>0</v>
      </c>
      <c r="JB18">
        <f t="shared" si="190"/>
        <v>0</v>
      </c>
      <c r="JC18">
        <f t="shared" ca="1" si="191"/>
        <v>0</v>
      </c>
      <c r="JD18">
        <f t="shared" ca="1" si="192"/>
        <v>0</v>
      </c>
      <c r="JE18">
        <f t="shared" ca="1" si="193"/>
        <v>1</v>
      </c>
      <c r="JF18" t="b">
        <f t="shared" si="194"/>
        <v>0</v>
      </c>
      <c r="JG18" s="6" t="b">
        <f t="shared" si="195"/>
        <v>0</v>
      </c>
      <c r="JH18" t="e">
        <f>MATCH(JH$2,Spieltage!$C$213:$C$221,0)+212</f>
        <v>#N/A</v>
      </c>
      <c r="JI18">
        <f>MATCH(JH$2,Spieltage!$E$213:$E$221,0)+212</f>
        <v>214</v>
      </c>
      <c r="JJ18">
        <f t="shared" si="196"/>
        <v>214</v>
      </c>
      <c r="JK18">
        <f ca="1">INDIRECT("Spieltage!$F"&amp;'i2'!JJ18)</f>
        <v>0</v>
      </c>
      <c r="JL18" s="35" t="s">
        <v>12</v>
      </c>
      <c r="JM18" s="97">
        <f ca="1">INDIRECT("Spieltage!$H"&amp;'i2'!JJ18)</f>
        <v>0</v>
      </c>
      <c r="JN18" t="str">
        <f t="shared" si="197"/>
        <v>A</v>
      </c>
      <c r="JO18">
        <f t="shared" si="198"/>
        <v>2</v>
      </c>
      <c r="JP18">
        <f t="shared" si="199"/>
        <v>0</v>
      </c>
      <c r="JQ18">
        <f t="shared" si="200"/>
        <v>0</v>
      </c>
      <c r="JR18">
        <f t="shared" si="201"/>
        <v>0</v>
      </c>
      <c r="JS18" t="b">
        <f t="shared" ca="1" si="202"/>
        <v>0</v>
      </c>
      <c r="JT18" t="b">
        <f t="shared" ca="1" si="203"/>
        <v>1</v>
      </c>
      <c r="JU18" t="b">
        <f t="shared" ca="1" si="204"/>
        <v>0</v>
      </c>
      <c r="JV18">
        <f t="shared" ca="1" si="205"/>
        <v>0</v>
      </c>
      <c r="JW18" t="b">
        <f t="shared" si="206"/>
        <v>0</v>
      </c>
      <c r="JX18" t="b">
        <f t="shared" si="207"/>
        <v>0</v>
      </c>
      <c r="JY18">
        <f t="shared" ca="1" si="208"/>
        <v>0</v>
      </c>
      <c r="JZ18" s="6">
        <f t="shared" ca="1" si="209"/>
        <v>1</v>
      </c>
      <c r="KA18">
        <f>MATCH(KA$2,Spieltage!$C$213:$C$221,0)+212</f>
        <v>213</v>
      </c>
      <c r="KB18" t="e">
        <f>MATCH(KA$2,Spieltage!$E$213:$E$221,0)+212</f>
        <v>#N/A</v>
      </c>
      <c r="KC18">
        <f t="shared" si="210"/>
        <v>213</v>
      </c>
      <c r="KD18">
        <f ca="1">INDIRECT("Spieltage!$F"&amp;'i2'!KC18)</f>
        <v>0</v>
      </c>
      <c r="KE18" s="35" t="s">
        <v>12</v>
      </c>
      <c r="KF18" s="97">
        <f ca="1">INDIRECT("Spieltage!$H"&amp;'i2'!KC18)</f>
        <v>0</v>
      </c>
      <c r="KG18" t="str">
        <f t="shared" si="211"/>
        <v>H</v>
      </c>
      <c r="KH18">
        <f t="shared" si="212"/>
        <v>1</v>
      </c>
      <c r="KI18" t="b">
        <f t="shared" ca="1" si="213"/>
        <v>0</v>
      </c>
      <c r="KJ18" t="b">
        <f t="shared" ca="1" si="214"/>
        <v>1</v>
      </c>
      <c r="KK18" t="b">
        <f t="shared" ca="1" si="215"/>
        <v>0</v>
      </c>
      <c r="KL18">
        <f t="shared" si="216"/>
        <v>0</v>
      </c>
      <c r="KM18">
        <f t="shared" si="217"/>
        <v>0</v>
      </c>
      <c r="KN18">
        <f t="shared" si="218"/>
        <v>0</v>
      </c>
      <c r="KO18">
        <f t="shared" ca="1" si="219"/>
        <v>0</v>
      </c>
      <c r="KP18">
        <f t="shared" ca="1" si="220"/>
        <v>0</v>
      </c>
      <c r="KQ18">
        <f t="shared" ca="1" si="221"/>
        <v>1</v>
      </c>
      <c r="KR18" t="b">
        <f t="shared" si="222"/>
        <v>0</v>
      </c>
      <c r="KS18" s="6" t="b">
        <f t="shared" si="223"/>
        <v>0</v>
      </c>
      <c r="KT18">
        <f>MATCH(KT$2,Spieltage!$C$213:$C$221,0)+212</f>
        <v>219</v>
      </c>
      <c r="KU18" t="e">
        <f>MATCH(KT$2,Spieltage!$E$213:$E$221,0)+212</f>
        <v>#N/A</v>
      </c>
      <c r="KV18">
        <f t="shared" si="224"/>
        <v>219</v>
      </c>
      <c r="KW18">
        <f ca="1">INDIRECT("Spieltage!$F"&amp;'i2'!KV18)</f>
        <v>0</v>
      </c>
      <c r="KX18" s="35" t="s">
        <v>12</v>
      </c>
      <c r="KY18" s="97">
        <f ca="1">INDIRECT("Spieltage!$H"&amp;'i2'!KV18)</f>
        <v>0</v>
      </c>
      <c r="KZ18" t="str">
        <f t="shared" si="225"/>
        <v>H</v>
      </c>
      <c r="LA18">
        <f t="shared" si="226"/>
        <v>1</v>
      </c>
      <c r="LB18" t="b">
        <f t="shared" ca="1" si="227"/>
        <v>0</v>
      </c>
      <c r="LC18" t="b">
        <f t="shared" ca="1" si="228"/>
        <v>1</v>
      </c>
      <c r="LD18" t="b">
        <f t="shared" ca="1" si="229"/>
        <v>0</v>
      </c>
      <c r="LE18">
        <f t="shared" si="230"/>
        <v>0</v>
      </c>
      <c r="LF18">
        <f t="shared" si="231"/>
        <v>0</v>
      </c>
      <c r="LG18">
        <f t="shared" si="232"/>
        <v>0</v>
      </c>
      <c r="LH18">
        <f t="shared" ca="1" si="233"/>
        <v>0</v>
      </c>
      <c r="LI18">
        <f t="shared" ca="1" si="234"/>
        <v>0</v>
      </c>
      <c r="LJ18">
        <f t="shared" ca="1" si="235"/>
        <v>1</v>
      </c>
      <c r="LK18" t="b">
        <f t="shared" si="236"/>
        <v>0</v>
      </c>
      <c r="LL18" s="6" t="b">
        <f t="shared" si="237"/>
        <v>0</v>
      </c>
      <c r="LM18">
        <f>MATCH(LM$2,Spieltage!$C$213:$C$221,0)+212</f>
        <v>217</v>
      </c>
      <c r="LN18" t="e">
        <f>MATCH(LM$2,Spieltage!$E$213:$E$221,0)+212</f>
        <v>#N/A</v>
      </c>
      <c r="LO18">
        <f t="shared" si="238"/>
        <v>217</v>
      </c>
      <c r="LP18">
        <f ca="1">INDIRECT("Spieltage!$F"&amp;'i2'!LO18)</f>
        <v>0</v>
      </c>
      <c r="LQ18" s="35" t="s">
        <v>12</v>
      </c>
      <c r="LR18" s="97">
        <f ca="1">INDIRECT("Spieltage!$H"&amp;'i2'!LO18)</f>
        <v>0</v>
      </c>
      <c r="LS18" t="str">
        <f t="shared" si="239"/>
        <v>H</v>
      </c>
      <c r="LT18">
        <f t="shared" si="240"/>
        <v>1</v>
      </c>
      <c r="LU18" t="b">
        <f t="shared" ca="1" si="241"/>
        <v>0</v>
      </c>
      <c r="LV18" t="b">
        <f t="shared" ca="1" si="242"/>
        <v>1</v>
      </c>
      <c r="LW18" t="b">
        <f t="shared" ca="1" si="243"/>
        <v>0</v>
      </c>
      <c r="LX18">
        <f t="shared" si="244"/>
        <v>0</v>
      </c>
      <c r="LY18">
        <f t="shared" si="245"/>
        <v>0</v>
      </c>
      <c r="LZ18">
        <f t="shared" si="246"/>
        <v>0</v>
      </c>
      <c r="MA18">
        <f t="shared" ca="1" si="247"/>
        <v>0</v>
      </c>
      <c r="MB18">
        <f t="shared" ca="1" si="248"/>
        <v>0</v>
      </c>
      <c r="MC18">
        <f t="shared" ca="1" si="249"/>
        <v>1</v>
      </c>
      <c r="MD18" t="b">
        <f t="shared" si="250"/>
        <v>0</v>
      </c>
      <c r="ME18" s="6" t="b">
        <f t="shared" si="251"/>
        <v>0</v>
      </c>
    </row>
    <row r="19" spans="1:343" x14ac:dyDescent="0.2">
      <c r="A19" s="104" t="s">
        <v>227</v>
      </c>
      <c r="B19">
        <f>MATCH(B$2,Spieltage!$C$228:$C$236,0)+227</f>
        <v>228</v>
      </c>
      <c r="C19" t="e">
        <f>MATCH(B$2,Spieltage!$E$228:$E$236,0)+227</f>
        <v>#N/A</v>
      </c>
      <c r="D19">
        <f t="shared" si="0"/>
        <v>228</v>
      </c>
      <c r="E19">
        <f ca="1">INDIRECT("Spieltage!$F"&amp;'i2'!D19)</f>
        <v>0</v>
      </c>
      <c r="F19" s="35" t="s">
        <v>12</v>
      </c>
      <c r="G19" s="97">
        <f ca="1">INDIRECT("Spieltage!$H"&amp;'i2'!D19)</f>
        <v>0</v>
      </c>
      <c r="H19" t="str">
        <f t="shared" si="1"/>
        <v>H</v>
      </c>
      <c r="I19">
        <f t="shared" si="2"/>
        <v>1</v>
      </c>
      <c r="J19" t="b">
        <f t="shared" ca="1" si="3"/>
        <v>0</v>
      </c>
      <c r="K19" t="b">
        <f t="shared" ca="1" si="4"/>
        <v>1</v>
      </c>
      <c r="L19" t="b">
        <f t="shared" ca="1" si="5"/>
        <v>0</v>
      </c>
      <c r="M19">
        <f t="shared" si="6"/>
        <v>0</v>
      </c>
      <c r="N19">
        <f t="shared" si="7"/>
        <v>0</v>
      </c>
      <c r="O19">
        <f t="shared" si="8"/>
        <v>0</v>
      </c>
      <c r="P19">
        <f t="shared" ca="1" si="9"/>
        <v>0</v>
      </c>
      <c r="Q19">
        <f t="shared" ca="1" si="10"/>
        <v>0</v>
      </c>
      <c r="R19">
        <f t="shared" ca="1" si="11"/>
        <v>1</v>
      </c>
      <c r="S19" t="b">
        <f t="shared" si="12"/>
        <v>0</v>
      </c>
      <c r="T19" s="6" t="b">
        <f t="shared" si="13"/>
        <v>0</v>
      </c>
      <c r="U19" t="e">
        <f>MATCH(U$2,Spieltage!$C$228:$C$236,0)+227</f>
        <v>#N/A</v>
      </c>
      <c r="V19">
        <f>MATCH(U$2,Spieltage!$E$228:$E$236,0)+227</f>
        <v>235</v>
      </c>
      <c r="W19">
        <f t="shared" si="14"/>
        <v>235</v>
      </c>
      <c r="X19">
        <f ca="1">INDIRECT("Spieltage!$F"&amp;'i2'!W19)</f>
        <v>0</v>
      </c>
      <c r="Y19" s="35" t="s">
        <v>12</v>
      </c>
      <c r="Z19" s="97">
        <f ca="1">INDIRECT("Spieltage!$H"&amp;'i2'!W19)</f>
        <v>0</v>
      </c>
      <c r="AA19" t="str">
        <f t="shared" si="15"/>
        <v>A</v>
      </c>
      <c r="AB19">
        <f t="shared" si="16"/>
        <v>2</v>
      </c>
      <c r="AC19">
        <f t="shared" si="17"/>
        <v>0</v>
      </c>
      <c r="AD19">
        <f t="shared" si="18"/>
        <v>0</v>
      </c>
      <c r="AE19">
        <f t="shared" si="19"/>
        <v>0</v>
      </c>
      <c r="AF19" t="b">
        <f t="shared" ca="1" si="20"/>
        <v>0</v>
      </c>
      <c r="AG19" t="b">
        <f t="shared" ca="1" si="21"/>
        <v>1</v>
      </c>
      <c r="AH19" t="b">
        <f t="shared" ca="1" si="22"/>
        <v>0</v>
      </c>
      <c r="AI19">
        <f t="shared" ca="1" si="23"/>
        <v>0</v>
      </c>
      <c r="AJ19" t="b">
        <f t="shared" si="24"/>
        <v>0</v>
      </c>
      <c r="AK19" t="b">
        <f t="shared" si="25"/>
        <v>0</v>
      </c>
      <c r="AL19">
        <f t="shared" ca="1" si="26"/>
        <v>0</v>
      </c>
      <c r="AM19" s="6">
        <f t="shared" ca="1" si="27"/>
        <v>1</v>
      </c>
      <c r="AN19">
        <f>MATCH(AN$2,Spieltage!$C$228:$C$236,0)+227</f>
        <v>229</v>
      </c>
      <c r="AO19" t="e">
        <f>MATCH(AN$2,Spieltage!$E$228:$E$236,0)+227</f>
        <v>#N/A</v>
      </c>
      <c r="AP19">
        <f t="shared" si="28"/>
        <v>229</v>
      </c>
      <c r="AQ19">
        <f ca="1">INDIRECT("Spieltage!$F"&amp;'i2'!AP19)</f>
        <v>0</v>
      </c>
      <c r="AR19" s="35" t="s">
        <v>12</v>
      </c>
      <c r="AS19" s="97">
        <f ca="1">INDIRECT("Spieltage!$H"&amp;'i2'!AP19)</f>
        <v>0</v>
      </c>
      <c r="AT19" t="str">
        <f t="shared" si="29"/>
        <v>H</v>
      </c>
      <c r="AU19">
        <f t="shared" si="30"/>
        <v>1</v>
      </c>
      <c r="AV19" t="b">
        <f t="shared" ca="1" si="31"/>
        <v>0</v>
      </c>
      <c r="AW19" t="b">
        <f t="shared" ca="1" si="32"/>
        <v>1</v>
      </c>
      <c r="AX19" t="b">
        <f t="shared" ca="1" si="33"/>
        <v>0</v>
      </c>
      <c r="AY19">
        <f t="shared" si="34"/>
        <v>0</v>
      </c>
      <c r="AZ19">
        <f t="shared" si="35"/>
        <v>0</v>
      </c>
      <c r="BA19">
        <f t="shared" si="36"/>
        <v>0</v>
      </c>
      <c r="BB19">
        <f t="shared" ca="1" si="37"/>
        <v>0</v>
      </c>
      <c r="BC19">
        <f t="shared" ca="1" si="38"/>
        <v>0</v>
      </c>
      <c r="BD19">
        <f t="shared" ca="1" si="39"/>
        <v>1</v>
      </c>
      <c r="BE19" t="b">
        <f t="shared" si="40"/>
        <v>0</v>
      </c>
      <c r="BF19" s="6" t="b">
        <f t="shared" si="41"/>
        <v>0</v>
      </c>
      <c r="BG19" t="e">
        <f>MATCH(BG$2,Spieltage!$C$228:$C$236,0)+227</f>
        <v>#N/A</v>
      </c>
      <c r="BH19">
        <f>MATCH(BG$2,Spieltage!$E$228:$E$236,0)+227</f>
        <v>232</v>
      </c>
      <c r="BI19">
        <f t="shared" si="42"/>
        <v>232</v>
      </c>
      <c r="BJ19">
        <f ca="1">INDIRECT("Spieltage!$F"&amp;'i2'!BI19)</f>
        <v>0</v>
      </c>
      <c r="BK19" s="35" t="s">
        <v>12</v>
      </c>
      <c r="BL19" s="97">
        <f ca="1">INDIRECT("Spieltage!$H"&amp;'i2'!BI19)</f>
        <v>0</v>
      </c>
      <c r="BM19" t="str">
        <f t="shared" si="43"/>
        <v>A</v>
      </c>
      <c r="BN19">
        <f t="shared" si="44"/>
        <v>2</v>
      </c>
      <c r="BO19">
        <f t="shared" si="45"/>
        <v>0</v>
      </c>
      <c r="BP19">
        <f t="shared" si="46"/>
        <v>0</v>
      </c>
      <c r="BQ19">
        <f t="shared" si="47"/>
        <v>0</v>
      </c>
      <c r="BR19" t="b">
        <f t="shared" ca="1" si="48"/>
        <v>0</v>
      </c>
      <c r="BS19" t="b">
        <f t="shared" ca="1" si="49"/>
        <v>1</v>
      </c>
      <c r="BT19" t="b">
        <f t="shared" ca="1" si="50"/>
        <v>0</v>
      </c>
      <c r="BU19">
        <f t="shared" ca="1" si="51"/>
        <v>0</v>
      </c>
      <c r="BV19" t="b">
        <f t="shared" si="52"/>
        <v>0</v>
      </c>
      <c r="BW19" t="b">
        <f t="shared" si="53"/>
        <v>0</v>
      </c>
      <c r="BX19">
        <f t="shared" ca="1" si="54"/>
        <v>0</v>
      </c>
      <c r="BY19" s="6">
        <f t="shared" ca="1" si="55"/>
        <v>1</v>
      </c>
      <c r="BZ19">
        <f>MATCH(BZ$2,Spieltage!$C$228:$C$236,0)+227</f>
        <v>230</v>
      </c>
      <c r="CA19" t="e">
        <f>MATCH(BZ$2,Spieltage!$E$228:$E$236,0)+227</f>
        <v>#N/A</v>
      </c>
      <c r="CB19">
        <f t="shared" si="56"/>
        <v>230</v>
      </c>
      <c r="CC19">
        <f ca="1">INDIRECT("Spieltage!$F"&amp;'i2'!CB19)</f>
        <v>0</v>
      </c>
      <c r="CD19" s="35" t="s">
        <v>12</v>
      </c>
      <c r="CE19" s="97">
        <f ca="1">INDIRECT("Spieltage!$H"&amp;'i2'!CB19)</f>
        <v>0</v>
      </c>
      <c r="CF19" t="str">
        <f t="shared" si="57"/>
        <v>H</v>
      </c>
      <c r="CG19">
        <f t="shared" si="58"/>
        <v>1</v>
      </c>
      <c r="CH19" t="b">
        <f t="shared" ca="1" si="59"/>
        <v>0</v>
      </c>
      <c r="CI19" t="b">
        <f t="shared" ca="1" si="60"/>
        <v>1</v>
      </c>
      <c r="CJ19" t="b">
        <f t="shared" ca="1" si="61"/>
        <v>0</v>
      </c>
      <c r="CK19">
        <f t="shared" si="62"/>
        <v>0</v>
      </c>
      <c r="CL19">
        <f t="shared" si="63"/>
        <v>0</v>
      </c>
      <c r="CM19">
        <f t="shared" si="64"/>
        <v>0</v>
      </c>
      <c r="CN19">
        <f t="shared" ca="1" si="65"/>
        <v>0</v>
      </c>
      <c r="CO19">
        <f t="shared" ca="1" si="66"/>
        <v>0</v>
      </c>
      <c r="CP19">
        <f t="shared" ca="1" si="67"/>
        <v>1</v>
      </c>
      <c r="CQ19" t="b">
        <f t="shared" si="68"/>
        <v>0</v>
      </c>
      <c r="CR19" s="6" t="b">
        <f t="shared" si="69"/>
        <v>0</v>
      </c>
      <c r="CS19">
        <f>MATCH(CS$2,Spieltage!$C$228:$C$236,0)+227</f>
        <v>232</v>
      </c>
      <c r="CT19" t="e">
        <f>MATCH(CS$2,Spieltage!$E$228:$E$236,0)+227</f>
        <v>#N/A</v>
      </c>
      <c r="CU19">
        <f t="shared" si="70"/>
        <v>232</v>
      </c>
      <c r="CV19">
        <f ca="1">INDIRECT("Spieltage!$F"&amp;'i2'!CU19)</f>
        <v>0</v>
      </c>
      <c r="CW19" s="35" t="s">
        <v>12</v>
      </c>
      <c r="CX19" s="97">
        <f ca="1">INDIRECT("Spieltage!$H"&amp;'i2'!CU19)</f>
        <v>0</v>
      </c>
      <c r="CY19" t="str">
        <f t="shared" si="71"/>
        <v>H</v>
      </c>
      <c r="CZ19">
        <f t="shared" si="72"/>
        <v>1</v>
      </c>
      <c r="DA19" t="b">
        <f t="shared" ca="1" si="73"/>
        <v>0</v>
      </c>
      <c r="DB19" t="b">
        <f t="shared" ca="1" si="74"/>
        <v>1</v>
      </c>
      <c r="DC19" t="b">
        <f t="shared" ca="1" si="75"/>
        <v>0</v>
      </c>
      <c r="DD19">
        <f t="shared" si="76"/>
        <v>0</v>
      </c>
      <c r="DE19">
        <f t="shared" si="77"/>
        <v>0</v>
      </c>
      <c r="DF19">
        <f t="shared" si="78"/>
        <v>0</v>
      </c>
      <c r="DG19">
        <f t="shared" ca="1" si="79"/>
        <v>0</v>
      </c>
      <c r="DH19">
        <f t="shared" ca="1" si="80"/>
        <v>0</v>
      </c>
      <c r="DI19">
        <f t="shared" ca="1" si="81"/>
        <v>1</v>
      </c>
      <c r="DJ19" t="b">
        <f t="shared" si="82"/>
        <v>0</v>
      </c>
      <c r="DK19" s="6" t="b">
        <f t="shared" si="83"/>
        <v>0</v>
      </c>
      <c r="DL19">
        <f>MATCH(DL$2,Spieltage!$C$228:$C$236,0)+227</f>
        <v>231</v>
      </c>
      <c r="DM19" t="e">
        <f>MATCH(DL$2,Spieltage!$E$228:$E$236,0)+227</f>
        <v>#N/A</v>
      </c>
      <c r="DN19">
        <f t="shared" si="84"/>
        <v>231</v>
      </c>
      <c r="DO19">
        <f ca="1">INDIRECT("Spieltage!$F"&amp;'i2'!DN19)</f>
        <v>0</v>
      </c>
      <c r="DP19" s="35" t="s">
        <v>12</v>
      </c>
      <c r="DQ19" s="97">
        <f ca="1">INDIRECT("Spieltage!$H"&amp;'i2'!DN19)</f>
        <v>0</v>
      </c>
      <c r="DR19" t="str">
        <f t="shared" si="85"/>
        <v>H</v>
      </c>
      <c r="DS19">
        <f t="shared" si="86"/>
        <v>1</v>
      </c>
      <c r="DT19" t="b">
        <f t="shared" ca="1" si="87"/>
        <v>0</v>
      </c>
      <c r="DU19" t="b">
        <f t="shared" ca="1" si="88"/>
        <v>1</v>
      </c>
      <c r="DV19" t="b">
        <f t="shared" ca="1" si="89"/>
        <v>0</v>
      </c>
      <c r="DW19">
        <f t="shared" si="90"/>
        <v>0</v>
      </c>
      <c r="DX19">
        <f t="shared" si="91"/>
        <v>0</v>
      </c>
      <c r="DY19">
        <f t="shared" si="92"/>
        <v>0</v>
      </c>
      <c r="DZ19">
        <f t="shared" ca="1" si="93"/>
        <v>0</v>
      </c>
      <c r="EA19">
        <f t="shared" ca="1" si="94"/>
        <v>0</v>
      </c>
      <c r="EB19">
        <f t="shared" ca="1" si="95"/>
        <v>1</v>
      </c>
      <c r="EC19" t="b">
        <f t="shared" si="96"/>
        <v>0</v>
      </c>
      <c r="ED19" s="6" t="b">
        <f t="shared" si="97"/>
        <v>0</v>
      </c>
      <c r="EE19" t="e">
        <f>MATCH(EE$2,Spieltage!$C$228:$C$236,0)+227</f>
        <v>#N/A</v>
      </c>
      <c r="EF19">
        <f>MATCH(EE$2,Spieltage!$E$228:$E$236,0)+227</f>
        <v>233</v>
      </c>
      <c r="EG19">
        <f t="shared" si="98"/>
        <v>233</v>
      </c>
      <c r="EH19">
        <f ca="1">INDIRECT("Spieltage!$F"&amp;'i2'!EG19)</f>
        <v>0</v>
      </c>
      <c r="EI19" s="35" t="s">
        <v>12</v>
      </c>
      <c r="EJ19" s="97">
        <f ca="1">INDIRECT("Spieltage!$H"&amp;'i2'!EG19)</f>
        <v>0</v>
      </c>
      <c r="EK19" t="str">
        <f t="shared" si="99"/>
        <v>A</v>
      </c>
      <c r="EL19">
        <f t="shared" si="100"/>
        <v>2</v>
      </c>
      <c r="EM19">
        <f t="shared" si="101"/>
        <v>0</v>
      </c>
      <c r="EN19">
        <f t="shared" si="102"/>
        <v>0</v>
      </c>
      <c r="EO19">
        <f t="shared" si="103"/>
        <v>0</v>
      </c>
      <c r="EP19" t="b">
        <f t="shared" ca="1" si="104"/>
        <v>0</v>
      </c>
      <c r="EQ19" t="b">
        <f t="shared" ca="1" si="105"/>
        <v>1</v>
      </c>
      <c r="ER19" t="b">
        <f t="shared" ca="1" si="106"/>
        <v>0</v>
      </c>
      <c r="ES19">
        <f t="shared" ca="1" si="107"/>
        <v>0</v>
      </c>
      <c r="ET19" t="b">
        <f t="shared" si="108"/>
        <v>0</v>
      </c>
      <c r="EU19" t="b">
        <f t="shared" si="109"/>
        <v>0</v>
      </c>
      <c r="EV19">
        <f t="shared" ca="1" si="110"/>
        <v>0</v>
      </c>
      <c r="EW19" s="6">
        <f t="shared" ca="1" si="111"/>
        <v>1</v>
      </c>
      <c r="EX19" t="e">
        <f>MATCH(EX$2,Spieltage!$C$228:$C$236,0)+227</f>
        <v>#N/A</v>
      </c>
      <c r="EY19">
        <f>MATCH(EX$2,Spieltage!$E$228:$E$236,0)+227</f>
        <v>234</v>
      </c>
      <c r="EZ19">
        <f t="shared" si="112"/>
        <v>234</v>
      </c>
      <c r="FA19">
        <f ca="1">INDIRECT("Spieltage!$F"&amp;'i2'!EZ19)</f>
        <v>0</v>
      </c>
      <c r="FB19" s="35" t="s">
        <v>12</v>
      </c>
      <c r="FC19" s="97">
        <f ca="1">INDIRECT("Spieltage!$H"&amp;'i2'!EZ19)</f>
        <v>0</v>
      </c>
      <c r="FD19" t="str">
        <f t="shared" si="113"/>
        <v>A</v>
      </c>
      <c r="FE19">
        <f t="shared" si="114"/>
        <v>2</v>
      </c>
      <c r="FF19">
        <f t="shared" si="115"/>
        <v>0</v>
      </c>
      <c r="FG19">
        <f t="shared" si="116"/>
        <v>0</v>
      </c>
      <c r="FH19">
        <f t="shared" si="117"/>
        <v>0</v>
      </c>
      <c r="FI19" t="b">
        <f t="shared" ca="1" si="118"/>
        <v>0</v>
      </c>
      <c r="FJ19" t="b">
        <f t="shared" ca="1" si="119"/>
        <v>1</v>
      </c>
      <c r="FK19" t="b">
        <f t="shared" ca="1" si="120"/>
        <v>0</v>
      </c>
      <c r="FL19">
        <f t="shared" ca="1" si="121"/>
        <v>0</v>
      </c>
      <c r="FM19" t="b">
        <f t="shared" si="122"/>
        <v>0</v>
      </c>
      <c r="FN19" t="b">
        <f t="shared" si="123"/>
        <v>0</v>
      </c>
      <c r="FO19">
        <f t="shared" ca="1" si="124"/>
        <v>0</v>
      </c>
      <c r="FP19" s="6">
        <f t="shared" ca="1" si="125"/>
        <v>1</v>
      </c>
      <c r="FQ19" t="e">
        <f>MATCH(FQ$2,Spieltage!$C$228:$C$236,0)+227</f>
        <v>#N/A</v>
      </c>
      <c r="FR19">
        <f>MATCH(FQ$2,Spieltage!$E$228:$E$236,0)+227</f>
        <v>236</v>
      </c>
      <c r="FS19">
        <f t="shared" si="126"/>
        <v>236</v>
      </c>
      <c r="FT19">
        <f ca="1">INDIRECT("Spieltage!$F"&amp;'i2'!FS19)</f>
        <v>0</v>
      </c>
      <c r="FU19" s="35" t="s">
        <v>12</v>
      </c>
      <c r="FV19" s="97">
        <f ca="1">INDIRECT("Spieltage!$H"&amp;'i2'!FS19)</f>
        <v>0</v>
      </c>
      <c r="FW19" t="str">
        <f t="shared" si="127"/>
        <v>A</v>
      </c>
      <c r="FX19">
        <f t="shared" si="128"/>
        <v>2</v>
      </c>
      <c r="FY19">
        <f t="shared" si="129"/>
        <v>0</v>
      </c>
      <c r="FZ19">
        <f t="shared" si="130"/>
        <v>0</v>
      </c>
      <c r="GA19">
        <f t="shared" si="131"/>
        <v>0</v>
      </c>
      <c r="GB19" t="b">
        <f t="shared" ca="1" si="132"/>
        <v>0</v>
      </c>
      <c r="GC19" t="b">
        <f t="shared" ca="1" si="133"/>
        <v>1</v>
      </c>
      <c r="GD19" t="b">
        <f t="shared" ca="1" si="134"/>
        <v>0</v>
      </c>
      <c r="GE19">
        <f t="shared" ca="1" si="135"/>
        <v>0</v>
      </c>
      <c r="GF19" t="b">
        <f t="shared" si="136"/>
        <v>0</v>
      </c>
      <c r="GG19" t="b">
        <f t="shared" si="137"/>
        <v>0</v>
      </c>
      <c r="GH19">
        <f t="shared" ca="1" si="138"/>
        <v>0</v>
      </c>
      <c r="GI19" s="6">
        <f t="shared" ca="1" si="139"/>
        <v>1</v>
      </c>
      <c r="GJ19">
        <f>MATCH(GJ$2,Spieltage!$C$228:$C$236,0)+227</f>
        <v>233</v>
      </c>
      <c r="GK19" t="e">
        <f>MATCH(GJ$2,Spieltage!$E$228:$E$236,0)+227</f>
        <v>#N/A</v>
      </c>
      <c r="GL19">
        <f t="shared" si="140"/>
        <v>233</v>
      </c>
      <c r="GM19">
        <f ca="1">INDIRECT("Spieltage!$F"&amp;'i2'!GL19)</f>
        <v>0</v>
      </c>
      <c r="GN19" s="35" t="s">
        <v>12</v>
      </c>
      <c r="GO19" s="97">
        <f ca="1">INDIRECT("Spieltage!$H"&amp;'i2'!GL19)</f>
        <v>0</v>
      </c>
      <c r="GP19" t="str">
        <f t="shared" si="141"/>
        <v>H</v>
      </c>
      <c r="GQ19">
        <f t="shared" si="142"/>
        <v>1</v>
      </c>
      <c r="GR19" t="b">
        <f t="shared" ca="1" si="143"/>
        <v>0</v>
      </c>
      <c r="GS19" t="b">
        <f t="shared" ca="1" si="144"/>
        <v>1</v>
      </c>
      <c r="GT19" t="b">
        <f t="shared" ca="1" si="145"/>
        <v>0</v>
      </c>
      <c r="GU19">
        <f t="shared" si="146"/>
        <v>0</v>
      </c>
      <c r="GV19">
        <f t="shared" si="147"/>
        <v>0</v>
      </c>
      <c r="GW19">
        <f t="shared" si="148"/>
        <v>0</v>
      </c>
      <c r="GX19">
        <f t="shared" ca="1" si="149"/>
        <v>0</v>
      </c>
      <c r="GY19">
        <f t="shared" ca="1" si="150"/>
        <v>0</v>
      </c>
      <c r="GZ19">
        <f t="shared" ca="1" si="151"/>
        <v>1</v>
      </c>
      <c r="HA19" t="b">
        <f t="shared" si="152"/>
        <v>0</v>
      </c>
      <c r="HB19" s="6" t="b">
        <f t="shared" si="153"/>
        <v>0</v>
      </c>
      <c r="HC19" t="e">
        <f>MATCH(HC$2,Spieltage!$C$228:$C$236,0)+227</f>
        <v>#N/A</v>
      </c>
      <c r="HD19">
        <f>MATCH(HC$2,Spieltage!$E$228:$E$236,0)+227</f>
        <v>231</v>
      </c>
      <c r="HE19">
        <f t="shared" si="154"/>
        <v>231</v>
      </c>
      <c r="HF19">
        <f ca="1">INDIRECT("Spieltage!$F"&amp;'i2'!HE19)</f>
        <v>0</v>
      </c>
      <c r="HG19" s="35" t="s">
        <v>12</v>
      </c>
      <c r="HH19" s="97">
        <f ca="1">INDIRECT("Spieltage!$H"&amp;'i2'!HE19)</f>
        <v>0</v>
      </c>
      <c r="HI19" t="str">
        <f t="shared" si="155"/>
        <v>A</v>
      </c>
      <c r="HJ19">
        <f t="shared" si="156"/>
        <v>2</v>
      </c>
      <c r="HK19">
        <f t="shared" si="157"/>
        <v>0</v>
      </c>
      <c r="HL19">
        <f t="shared" si="158"/>
        <v>0</v>
      </c>
      <c r="HM19">
        <f t="shared" si="159"/>
        <v>0</v>
      </c>
      <c r="HN19" t="b">
        <f t="shared" ca="1" si="160"/>
        <v>0</v>
      </c>
      <c r="HO19" t="b">
        <f t="shared" ca="1" si="161"/>
        <v>1</v>
      </c>
      <c r="HP19" t="b">
        <f t="shared" ca="1" si="162"/>
        <v>0</v>
      </c>
      <c r="HQ19">
        <f t="shared" ca="1" si="163"/>
        <v>0</v>
      </c>
      <c r="HR19" t="b">
        <f t="shared" si="164"/>
        <v>0</v>
      </c>
      <c r="HS19" t="b">
        <f t="shared" si="165"/>
        <v>0</v>
      </c>
      <c r="HT19">
        <f t="shared" ca="1" si="166"/>
        <v>0</v>
      </c>
      <c r="HU19" s="6">
        <f t="shared" ca="1" si="167"/>
        <v>1</v>
      </c>
      <c r="HV19">
        <f>MATCH(HV$2,Spieltage!$C$228:$C$236,0)+227</f>
        <v>234</v>
      </c>
      <c r="HW19" t="e">
        <f>MATCH(HV$2,Spieltage!$E$228:$E$236,0)+227</f>
        <v>#N/A</v>
      </c>
      <c r="HX19">
        <f t="shared" si="168"/>
        <v>234</v>
      </c>
      <c r="HY19">
        <f ca="1">INDIRECT("Spieltage!$F"&amp;'i2'!HX19)</f>
        <v>0</v>
      </c>
      <c r="HZ19" s="35" t="s">
        <v>12</v>
      </c>
      <c r="IA19" s="97">
        <f ca="1">INDIRECT("Spieltage!$H"&amp;'i2'!HX19)</f>
        <v>0</v>
      </c>
      <c r="IB19" t="str">
        <f t="shared" si="169"/>
        <v>H</v>
      </c>
      <c r="IC19">
        <f t="shared" si="170"/>
        <v>1</v>
      </c>
      <c r="ID19" t="b">
        <f t="shared" ca="1" si="171"/>
        <v>0</v>
      </c>
      <c r="IE19" t="b">
        <f t="shared" ca="1" si="172"/>
        <v>1</v>
      </c>
      <c r="IF19" t="b">
        <f t="shared" ca="1" si="173"/>
        <v>0</v>
      </c>
      <c r="IG19">
        <f t="shared" si="174"/>
        <v>0</v>
      </c>
      <c r="IH19">
        <f t="shared" si="175"/>
        <v>0</v>
      </c>
      <c r="II19">
        <f t="shared" si="176"/>
        <v>0</v>
      </c>
      <c r="IJ19">
        <f t="shared" ca="1" si="177"/>
        <v>0</v>
      </c>
      <c r="IK19">
        <f t="shared" ca="1" si="178"/>
        <v>0</v>
      </c>
      <c r="IL19">
        <f t="shared" ca="1" si="179"/>
        <v>1</v>
      </c>
      <c r="IM19" t="b">
        <f t="shared" si="180"/>
        <v>0</v>
      </c>
      <c r="IN19" s="6" t="b">
        <f t="shared" si="181"/>
        <v>0</v>
      </c>
      <c r="IO19" t="e">
        <f>MATCH(IO$2,Spieltage!$C$228:$C$236,0)+227</f>
        <v>#N/A</v>
      </c>
      <c r="IP19">
        <f>MATCH(IO$2,Spieltage!$E$228:$E$236,0)+227</f>
        <v>229</v>
      </c>
      <c r="IQ19">
        <f t="shared" si="182"/>
        <v>229</v>
      </c>
      <c r="IR19">
        <f ca="1">INDIRECT("Spieltage!$F"&amp;'i2'!IQ19)</f>
        <v>0</v>
      </c>
      <c r="IS19" s="35" t="s">
        <v>12</v>
      </c>
      <c r="IT19" s="97">
        <f ca="1">INDIRECT("Spieltage!$H"&amp;'i2'!IQ19)</f>
        <v>0</v>
      </c>
      <c r="IU19" t="str">
        <f t="shared" si="183"/>
        <v>A</v>
      </c>
      <c r="IV19">
        <f t="shared" si="184"/>
        <v>2</v>
      </c>
      <c r="IW19">
        <f t="shared" si="185"/>
        <v>0</v>
      </c>
      <c r="IX19">
        <f t="shared" si="186"/>
        <v>0</v>
      </c>
      <c r="IY19">
        <f t="shared" si="187"/>
        <v>0</v>
      </c>
      <c r="IZ19" t="b">
        <f t="shared" ca="1" si="188"/>
        <v>0</v>
      </c>
      <c r="JA19" t="b">
        <f t="shared" ca="1" si="189"/>
        <v>1</v>
      </c>
      <c r="JB19" t="b">
        <f t="shared" ca="1" si="190"/>
        <v>0</v>
      </c>
      <c r="JC19">
        <f t="shared" ca="1" si="191"/>
        <v>0</v>
      </c>
      <c r="JD19" t="b">
        <f t="shared" si="192"/>
        <v>0</v>
      </c>
      <c r="JE19" t="b">
        <f t="shared" si="193"/>
        <v>0</v>
      </c>
      <c r="JF19">
        <f t="shared" ca="1" si="194"/>
        <v>0</v>
      </c>
      <c r="JG19" s="6">
        <f t="shared" ca="1" si="195"/>
        <v>1</v>
      </c>
      <c r="JH19">
        <f>MATCH(JH$2,Spieltage!$C$228:$C$236,0)+227</f>
        <v>235</v>
      </c>
      <c r="JI19" t="e">
        <f>MATCH(JH$2,Spieltage!$E$228:$E$236,0)+227</f>
        <v>#N/A</v>
      </c>
      <c r="JJ19">
        <f t="shared" si="196"/>
        <v>235</v>
      </c>
      <c r="JK19">
        <f ca="1">INDIRECT("Spieltage!$F"&amp;'i2'!JJ19)</f>
        <v>0</v>
      </c>
      <c r="JL19" s="35" t="s">
        <v>12</v>
      </c>
      <c r="JM19" s="97">
        <f ca="1">INDIRECT("Spieltage!$H"&amp;'i2'!JJ19)</f>
        <v>0</v>
      </c>
      <c r="JN19" t="str">
        <f t="shared" si="197"/>
        <v>H</v>
      </c>
      <c r="JO19">
        <f t="shared" si="198"/>
        <v>1</v>
      </c>
      <c r="JP19" t="b">
        <f t="shared" ca="1" si="199"/>
        <v>0</v>
      </c>
      <c r="JQ19" t="b">
        <f t="shared" ca="1" si="200"/>
        <v>1</v>
      </c>
      <c r="JR19" t="b">
        <f t="shared" ca="1" si="201"/>
        <v>0</v>
      </c>
      <c r="JS19">
        <f t="shared" si="202"/>
        <v>0</v>
      </c>
      <c r="JT19">
        <f t="shared" si="203"/>
        <v>0</v>
      </c>
      <c r="JU19">
        <f t="shared" si="204"/>
        <v>0</v>
      </c>
      <c r="JV19">
        <f t="shared" ca="1" si="205"/>
        <v>0</v>
      </c>
      <c r="JW19">
        <f t="shared" ca="1" si="206"/>
        <v>0</v>
      </c>
      <c r="JX19">
        <f t="shared" ca="1" si="207"/>
        <v>1</v>
      </c>
      <c r="JY19" t="b">
        <f t="shared" si="208"/>
        <v>0</v>
      </c>
      <c r="JZ19" s="6" t="b">
        <f t="shared" si="209"/>
        <v>0</v>
      </c>
      <c r="KA19" t="e">
        <f>MATCH(KA$2,Spieltage!$C$228:$C$236,0)+227</f>
        <v>#N/A</v>
      </c>
      <c r="KB19">
        <f>MATCH(KA$2,Spieltage!$E$228:$E$236,0)+227</f>
        <v>230</v>
      </c>
      <c r="KC19">
        <f t="shared" si="210"/>
        <v>230</v>
      </c>
      <c r="KD19">
        <f ca="1">INDIRECT("Spieltage!$F"&amp;'i2'!KC19)</f>
        <v>0</v>
      </c>
      <c r="KE19" s="35" t="s">
        <v>12</v>
      </c>
      <c r="KF19" s="97">
        <f ca="1">INDIRECT("Spieltage!$H"&amp;'i2'!KC19)</f>
        <v>0</v>
      </c>
      <c r="KG19" t="str">
        <f t="shared" si="211"/>
        <v>A</v>
      </c>
      <c r="KH19">
        <f t="shared" si="212"/>
        <v>2</v>
      </c>
      <c r="KI19">
        <f t="shared" si="213"/>
        <v>0</v>
      </c>
      <c r="KJ19">
        <f t="shared" si="214"/>
        <v>0</v>
      </c>
      <c r="KK19">
        <f t="shared" si="215"/>
        <v>0</v>
      </c>
      <c r="KL19" t="b">
        <f t="shared" ca="1" si="216"/>
        <v>0</v>
      </c>
      <c r="KM19" t="b">
        <f t="shared" ca="1" si="217"/>
        <v>1</v>
      </c>
      <c r="KN19" t="b">
        <f t="shared" ca="1" si="218"/>
        <v>0</v>
      </c>
      <c r="KO19">
        <f t="shared" ca="1" si="219"/>
        <v>0</v>
      </c>
      <c r="KP19" t="b">
        <f t="shared" si="220"/>
        <v>0</v>
      </c>
      <c r="KQ19" t="b">
        <f t="shared" si="221"/>
        <v>0</v>
      </c>
      <c r="KR19">
        <f t="shared" ca="1" si="222"/>
        <v>0</v>
      </c>
      <c r="KS19" s="6">
        <f t="shared" ca="1" si="223"/>
        <v>1</v>
      </c>
      <c r="KT19">
        <f>MATCH(KT$2,Spieltage!$C$228:$C$236,0)+227</f>
        <v>236</v>
      </c>
      <c r="KU19" t="e">
        <f>MATCH(KT$2,Spieltage!$E$228:$E$236,0)+227</f>
        <v>#N/A</v>
      </c>
      <c r="KV19">
        <f t="shared" si="224"/>
        <v>236</v>
      </c>
      <c r="KW19">
        <f ca="1">INDIRECT("Spieltage!$F"&amp;'i2'!KV19)</f>
        <v>0</v>
      </c>
      <c r="KX19" s="35" t="s">
        <v>12</v>
      </c>
      <c r="KY19" s="97">
        <f ca="1">INDIRECT("Spieltage!$H"&amp;'i2'!KV19)</f>
        <v>0</v>
      </c>
      <c r="KZ19" t="str">
        <f t="shared" si="225"/>
        <v>H</v>
      </c>
      <c r="LA19">
        <f t="shared" si="226"/>
        <v>1</v>
      </c>
      <c r="LB19" t="b">
        <f t="shared" ca="1" si="227"/>
        <v>0</v>
      </c>
      <c r="LC19" t="b">
        <f t="shared" ca="1" si="228"/>
        <v>1</v>
      </c>
      <c r="LD19" t="b">
        <f t="shared" ca="1" si="229"/>
        <v>0</v>
      </c>
      <c r="LE19">
        <f t="shared" si="230"/>
        <v>0</v>
      </c>
      <c r="LF19">
        <f t="shared" si="231"/>
        <v>0</v>
      </c>
      <c r="LG19">
        <f t="shared" si="232"/>
        <v>0</v>
      </c>
      <c r="LH19">
        <f t="shared" ca="1" si="233"/>
        <v>0</v>
      </c>
      <c r="LI19">
        <f t="shared" ca="1" si="234"/>
        <v>0</v>
      </c>
      <c r="LJ19">
        <f t="shared" ca="1" si="235"/>
        <v>1</v>
      </c>
      <c r="LK19" t="b">
        <f t="shared" si="236"/>
        <v>0</v>
      </c>
      <c r="LL19" s="6" t="b">
        <f t="shared" si="237"/>
        <v>0</v>
      </c>
      <c r="LM19" t="e">
        <f>MATCH(LM$2,Spieltage!$C$228:$C$236,0)+227</f>
        <v>#N/A</v>
      </c>
      <c r="LN19">
        <f>MATCH(LM$2,Spieltage!$E$228:$E$236,0)+227</f>
        <v>228</v>
      </c>
      <c r="LO19">
        <f t="shared" si="238"/>
        <v>228</v>
      </c>
      <c r="LP19">
        <f ca="1">INDIRECT("Spieltage!$F"&amp;'i2'!LO19)</f>
        <v>0</v>
      </c>
      <c r="LQ19" s="35" t="s">
        <v>12</v>
      </c>
      <c r="LR19" s="97">
        <f ca="1">INDIRECT("Spieltage!$H"&amp;'i2'!LO19)</f>
        <v>0</v>
      </c>
      <c r="LS19" t="str">
        <f t="shared" si="239"/>
        <v>A</v>
      </c>
      <c r="LT19">
        <f t="shared" si="240"/>
        <v>2</v>
      </c>
      <c r="LU19">
        <f t="shared" si="241"/>
        <v>0</v>
      </c>
      <c r="LV19">
        <f t="shared" si="242"/>
        <v>0</v>
      </c>
      <c r="LW19">
        <f t="shared" si="243"/>
        <v>0</v>
      </c>
      <c r="LX19" t="b">
        <f t="shared" ca="1" si="244"/>
        <v>0</v>
      </c>
      <c r="LY19" t="b">
        <f t="shared" ca="1" si="245"/>
        <v>1</v>
      </c>
      <c r="LZ19" t="b">
        <f t="shared" ca="1" si="246"/>
        <v>0</v>
      </c>
      <c r="MA19">
        <f t="shared" ca="1" si="247"/>
        <v>0</v>
      </c>
      <c r="MB19" t="b">
        <f t="shared" si="248"/>
        <v>0</v>
      </c>
      <c r="MC19" t="b">
        <f t="shared" si="249"/>
        <v>0</v>
      </c>
      <c r="MD19">
        <f t="shared" ca="1" si="250"/>
        <v>0</v>
      </c>
      <c r="ME19" s="6">
        <f t="shared" ca="1" si="251"/>
        <v>1</v>
      </c>
    </row>
    <row r="20" spans="1:343" x14ac:dyDescent="0.2">
      <c r="A20" s="104" t="s">
        <v>228</v>
      </c>
      <c r="B20" t="e">
        <f>MATCH(B$2,Spieltage!$C$243:$C$251,0)+242</f>
        <v>#N/A</v>
      </c>
      <c r="C20">
        <f>MATCH(B$2,Spieltage!$E$243:$E$251,0)+242</f>
        <v>250</v>
      </c>
      <c r="D20">
        <f t="shared" si="0"/>
        <v>250</v>
      </c>
      <c r="E20">
        <f ca="1">INDIRECT("Spieltage!$F"&amp;'i2'!D20)</f>
        <v>0</v>
      </c>
      <c r="F20" s="35" t="s">
        <v>12</v>
      </c>
      <c r="G20" s="97">
        <f ca="1">INDIRECT("Spieltage!$H"&amp;'i2'!D20)</f>
        <v>0</v>
      </c>
      <c r="H20" t="str">
        <f t="shared" si="1"/>
        <v>A</v>
      </c>
      <c r="I20">
        <f t="shared" si="2"/>
        <v>2</v>
      </c>
      <c r="J20">
        <f t="shared" si="3"/>
        <v>0</v>
      </c>
      <c r="K20">
        <f t="shared" si="4"/>
        <v>0</v>
      </c>
      <c r="L20">
        <f t="shared" si="5"/>
        <v>0</v>
      </c>
      <c r="M20" t="b">
        <f t="shared" ca="1" si="6"/>
        <v>0</v>
      </c>
      <c r="N20" t="b">
        <f t="shared" ca="1" si="7"/>
        <v>1</v>
      </c>
      <c r="O20" t="b">
        <f t="shared" ca="1" si="8"/>
        <v>0</v>
      </c>
      <c r="P20">
        <f t="shared" ca="1" si="9"/>
        <v>0</v>
      </c>
      <c r="Q20" t="b">
        <f t="shared" si="10"/>
        <v>0</v>
      </c>
      <c r="R20" t="b">
        <f t="shared" si="11"/>
        <v>0</v>
      </c>
      <c r="S20">
        <f t="shared" ca="1" si="12"/>
        <v>0</v>
      </c>
      <c r="T20" s="6">
        <f t="shared" ca="1" si="13"/>
        <v>1</v>
      </c>
      <c r="U20">
        <f>MATCH(U$2,Spieltage!$C$243:$C$251,0)+242</f>
        <v>245</v>
      </c>
      <c r="V20" t="e">
        <f>MATCH(U$2,Spieltage!$E$243:$E$251,0)+242</f>
        <v>#N/A</v>
      </c>
      <c r="W20">
        <f t="shared" si="14"/>
        <v>245</v>
      </c>
      <c r="X20">
        <f ca="1">INDIRECT("Spieltage!$F"&amp;'i2'!W20)</f>
        <v>0</v>
      </c>
      <c r="Y20" s="35" t="s">
        <v>12</v>
      </c>
      <c r="Z20" s="97">
        <f ca="1">INDIRECT("Spieltage!$H"&amp;'i2'!W20)</f>
        <v>0</v>
      </c>
      <c r="AA20" t="str">
        <f t="shared" si="15"/>
        <v>H</v>
      </c>
      <c r="AB20">
        <f t="shared" si="16"/>
        <v>1</v>
      </c>
      <c r="AC20" t="b">
        <f t="shared" ca="1" si="17"/>
        <v>0</v>
      </c>
      <c r="AD20" t="b">
        <f t="shared" ca="1" si="18"/>
        <v>1</v>
      </c>
      <c r="AE20" t="b">
        <f t="shared" ca="1" si="19"/>
        <v>0</v>
      </c>
      <c r="AF20">
        <f t="shared" si="20"/>
        <v>0</v>
      </c>
      <c r="AG20">
        <f t="shared" si="21"/>
        <v>0</v>
      </c>
      <c r="AH20">
        <f t="shared" si="22"/>
        <v>0</v>
      </c>
      <c r="AI20">
        <f t="shared" ca="1" si="23"/>
        <v>0</v>
      </c>
      <c r="AJ20">
        <f t="shared" ca="1" si="24"/>
        <v>0</v>
      </c>
      <c r="AK20">
        <f t="shared" ca="1" si="25"/>
        <v>1</v>
      </c>
      <c r="AL20" t="b">
        <f t="shared" si="26"/>
        <v>0</v>
      </c>
      <c r="AM20" s="6" t="b">
        <f t="shared" si="27"/>
        <v>0</v>
      </c>
      <c r="AN20" t="e">
        <f>MATCH(AN$2,Spieltage!$C$243:$C$251,0)+242</f>
        <v>#N/A</v>
      </c>
      <c r="AO20">
        <f>MATCH(AN$2,Spieltage!$E$243:$E$251,0)+242</f>
        <v>251</v>
      </c>
      <c r="AP20">
        <f t="shared" si="28"/>
        <v>251</v>
      </c>
      <c r="AQ20">
        <f ca="1">INDIRECT("Spieltage!$F"&amp;'i2'!AP20)</f>
        <v>0</v>
      </c>
      <c r="AR20" s="35" t="s">
        <v>12</v>
      </c>
      <c r="AS20" s="97">
        <f ca="1">INDIRECT("Spieltage!$H"&amp;'i2'!AP20)</f>
        <v>0</v>
      </c>
      <c r="AT20" t="str">
        <f t="shared" si="29"/>
        <v>A</v>
      </c>
      <c r="AU20">
        <f t="shared" si="30"/>
        <v>2</v>
      </c>
      <c r="AV20">
        <f t="shared" si="31"/>
        <v>0</v>
      </c>
      <c r="AW20">
        <f t="shared" si="32"/>
        <v>0</v>
      </c>
      <c r="AX20">
        <f t="shared" si="33"/>
        <v>0</v>
      </c>
      <c r="AY20" t="b">
        <f t="shared" ca="1" si="34"/>
        <v>0</v>
      </c>
      <c r="AZ20" t="b">
        <f t="shared" ca="1" si="35"/>
        <v>1</v>
      </c>
      <c r="BA20" t="b">
        <f t="shared" ca="1" si="36"/>
        <v>0</v>
      </c>
      <c r="BB20">
        <f t="shared" ca="1" si="37"/>
        <v>0</v>
      </c>
      <c r="BC20" t="b">
        <f t="shared" si="38"/>
        <v>0</v>
      </c>
      <c r="BD20" t="b">
        <f t="shared" si="39"/>
        <v>0</v>
      </c>
      <c r="BE20">
        <f t="shared" ca="1" si="40"/>
        <v>0</v>
      </c>
      <c r="BF20" s="6">
        <f t="shared" ca="1" si="41"/>
        <v>1</v>
      </c>
      <c r="BG20">
        <f>MATCH(BG$2,Spieltage!$C$243:$C$251,0)+242</f>
        <v>249</v>
      </c>
      <c r="BH20" t="e">
        <f>MATCH(BG$2,Spieltage!$E$243:$E$251,0)+242</f>
        <v>#N/A</v>
      </c>
      <c r="BI20">
        <f t="shared" si="42"/>
        <v>249</v>
      </c>
      <c r="BJ20">
        <f ca="1">INDIRECT("Spieltage!$F"&amp;'i2'!BI20)</f>
        <v>0</v>
      </c>
      <c r="BK20" s="35" t="s">
        <v>12</v>
      </c>
      <c r="BL20" s="97">
        <f ca="1">INDIRECT("Spieltage!$H"&amp;'i2'!BI20)</f>
        <v>0</v>
      </c>
      <c r="BM20" t="str">
        <f t="shared" si="43"/>
        <v>H</v>
      </c>
      <c r="BN20">
        <f t="shared" si="44"/>
        <v>1</v>
      </c>
      <c r="BO20" t="b">
        <f t="shared" ca="1" si="45"/>
        <v>0</v>
      </c>
      <c r="BP20" t="b">
        <f t="shared" ca="1" si="46"/>
        <v>1</v>
      </c>
      <c r="BQ20" t="b">
        <f t="shared" ca="1" si="47"/>
        <v>0</v>
      </c>
      <c r="BR20">
        <f t="shared" si="48"/>
        <v>0</v>
      </c>
      <c r="BS20">
        <f t="shared" si="49"/>
        <v>0</v>
      </c>
      <c r="BT20">
        <f t="shared" si="50"/>
        <v>0</v>
      </c>
      <c r="BU20">
        <f t="shared" ca="1" si="51"/>
        <v>0</v>
      </c>
      <c r="BV20">
        <f t="shared" ca="1" si="52"/>
        <v>0</v>
      </c>
      <c r="BW20">
        <f t="shared" ca="1" si="53"/>
        <v>1</v>
      </c>
      <c r="BX20" t="b">
        <f t="shared" si="54"/>
        <v>0</v>
      </c>
      <c r="BY20" s="6" t="b">
        <f t="shared" si="55"/>
        <v>0</v>
      </c>
      <c r="BZ20" t="e">
        <f>MATCH(BZ$2,Spieltage!$C$243:$C$251,0)+242</f>
        <v>#N/A</v>
      </c>
      <c r="CA20">
        <f>MATCH(BZ$2,Spieltage!$E$243:$E$251,0)+242</f>
        <v>246</v>
      </c>
      <c r="CB20">
        <f t="shared" si="56"/>
        <v>246</v>
      </c>
      <c r="CC20">
        <f ca="1">INDIRECT("Spieltage!$F"&amp;'i2'!CB20)</f>
        <v>0</v>
      </c>
      <c r="CD20" s="35" t="s">
        <v>12</v>
      </c>
      <c r="CE20" s="97">
        <f ca="1">INDIRECT("Spieltage!$H"&amp;'i2'!CB20)</f>
        <v>0</v>
      </c>
      <c r="CF20" t="str">
        <f t="shared" si="57"/>
        <v>A</v>
      </c>
      <c r="CG20">
        <f t="shared" si="58"/>
        <v>2</v>
      </c>
      <c r="CH20">
        <f t="shared" si="59"/>
        <v>0</v>
      </c>
      <c r="CI20">
        <f t="shared" si="60"/>
        <v>0</v>
      </c>
      <c r="CJ20">
        <f t="shared" si="61"/>
        <v>0</v>
      </c>
      <c r="CK20" t="b">
        <f t="shared" ca="1" si="62"/>
        <v>0</v>
      </c>
      <c r="CL20" t="b">
        <f t="shared" ca="1" si="63"/>
        <v>1</v>
      </c>
      <c r="CM20" t="b">
        <f t="shared" ca="1" si="64"/>
        <v>0</v>
      </c>
      <c r="CN20">
        <f t="shared" ca="1" si="65"/>
        <v>0</v>
      </c>
      <c r="CO20" t="b">
        <f t="shared" si="66"/>
        <v>0</v>
      </c>
      <c r="CP20" t="b">
        <f t="shared" si="67"/>
        <v>0</v>
      </c>
      <c r="CQ20">
        <f t="shared" ca="1" si="68"/>
        <v>0</v>
      </c>
      <c r="CR20" s="6">
        <f t="shared" ca="1" si="69"/>
        <v>1</v>
      </c>
      <c r="CS20" t="e">
        <f>MATCH(CS$2,Spieltage!$C$243:$C$251,0)+242</f>
        <v>#N/A</v>
      </c>
      <c r="CT20">
        <f>MATCH(CS$2,Spieltage!$E$243:$E$251,0)+242</f>
        <v>243</v>
      </c>
      <c r="CU20">
        <f t="shared" si="70"/>
        <v>243</v>
      </c>
      <c r="CV20">
        <f ca="1">INDIRECT("Spieltage!$F"&amp;'i2'!CU20)</f>
        <v>0</v>
      </c>
      <c r="CW20" s="35" t="s">
        <v>12</v>
      </c>
      <c r="CX20" s="97">
        <f ca="1">INDIRECT("Spieltage!$H"&amp;'i2'!CU20)</f>
        <v>0</v>
      </c>
      <c r="CY20" t="str">
        <f t="shared" si="71"/>
        <v>A</v>
      </c>
      <c r="CZ20">
        <f t="shared" si="72"/>
        <v>2</v>
      </c>
      <c r="DA20">
        <f t="shared" si="73"/>
        <v>0</v>
      </c>
      <c r="DB20">
        <f t="shared" si="74"/>
        <v>0</v>
      </c>
      <c r="DC20">
        <f t="shared" si="75"/>
        <v>0</v>
      </c>
      <c r="DD20" t="b">
        <f t="shared" ca="1" si="76"/>
        <v>0</v>
      </c>
      <c r="DE20" t="b">
        <f t="shared" ca="1" si="77"/>
        <v>1</v>
      </c>
      <c r="DF20" t="b">
        <f t="shared" ca="1" si="78"/>
        <v>0</v>
      </c>
      <c r="DG20">
        <f t="shared" ca="1" si="79"/>
        <v>0</v>
      </c>
      <c r="DH20" t="b">
        <f t="shared" si="80"/>
        <v>0</v>
      </c>
      <c r="DI20" t="b">
        <f t="shared" si="81"/>
        <v>0</v>
      </c>
      <c r="DJ20">
        <f t="shared" ca="1" si="82"/>
        <v>0</v>
      </c>
      <c r="DK20" s="6">
        <f t="shared" ca="1" si="83"/>
        <v>1</v>
      </c>
      <c r="DL20" t="e">
        <f>MATCH(DL$2,Spieltage!$C$243:$C$251,0)+242</f>
        <v>#N/A</v>
      </c>
      <c r="DM20">
        <f>MATCH(DL$2,Spieltage!$E$243:$E$251,0)+242</f>
        <v>245</v>
      </c>
      <c r="DN20">
        <f t="shared" si="84"/>
        <v>245</v>
      </c>
      <c r="DO20">
        <f ca="1">INDIRECT("Spieltage!$F"&amp;'i2'!DN20)</f>
        <v>0</v>
      </c>
      <c r="DP20" s="35" t="s">
        <v>12</v>
      </c>
      <c r="DQ20" s="97">
        <f ca="1">INDIRECT("Spieltage!$H"&amp;'i2'!DN20)</f>
        <v>0</v>
      </c>
      <c r="DR20" t="str">
        <f t="shared" si="85"/>
        <v>A</v>
      </c>
      <c r="DS20">
        <f t="shared" si="86"/>
        <v>2</v>
      </c>
      <c r="DT20">
        <f t="shared" si="87"/>
        <v>0</v>
      </c>
      <c r="DU20">
        <f t="shared" si="88"/>
        <v>0</v>
      </c>
      <c r="DV20">
        <f t="shared" si="89"/>
        <v>0</v>
      </c>
      <c r="DW20" t="b">
        <f t="shared" ca="1" si="90"/>
        <v>0</v>
      </c>
      <c r="DX20" t="b">
        <f t="shared" ca="1" si="91"/>
        <v>1</v>
      </c>
      <c r="DY20" t="b">
        <f t="shared" ca="1" si="92"/>
        <v>0</v>
      </c>
      <c r="DZ20">
        <f t="shared" ca="1" si="93"/>
        <v>0</v>
      </c>
      <c r="EA20" t="b">
        <f t="shared" si="94"/>
        <v>0</v>
      </c>
      <c r="EB20" t="b">
        <f t="shared" si="95"/>
        <v>0</v>
      </c>
      <c r="EC20">
        <f t="shared" ca="1" si="96"/>
        <v>0</v>
      </c>
      <c r="ED20" s="6">
        <f t="shared" ca="1" si="97"/>
        <v>1</v>
      </c>
      <c r="EE20">
        <f>MATCH(EE$2,Spieltage!$C$243:$C$251,0)+242</f>
        <v>248</v>
      </c>
      <c r="EF20" t="e">
        <f>MATCH(EE$2,Spieltage!$E$243:$E$251,0)+242</f>
        <v>#N/A</v>
      </c>
      <c r="EG20">
        <f t="shared" si="98"/>
        <v>248</v>
      </c>
      <c r="EH20">
        <f ca="1">INDIRECT("Spieltage!$F"&amp;'i2'!EG20)</f>
        <v>0</v>
      </c>
      <c r="EI20" s="35" t="s">
        <v>12</v>
      </c>
      <c r="EJ20" s="97">
        <f ca="1">INDIRECT("Spieltage!$H"&amp;'i2'!EG20)</f>
        <v>0</v>
      </c>
      <c r="EK20" t="str">
        <f t="shared" si="99"/>
        <v>H</v>
      </c>
      <c r="EL20">
        <f t="shared" si="100"/>
        <v>1</v>
      </c>
      <c r="EM20" t="b">
        <f t="shared" ca="1" si="101"/>
        <v>0</v>
      </c>
      <c r="EN20" t="b">
        <f t="shared" ca="1" si="102"/>
        <v>1</v>
      </c>
      <c r="EO20" t="b">
        <f t="shared" ca="1" si="103"/>
        <v>0</v>
      </c>
      <c r="EP20">
        <f t="shared" si="104"/>
        <v>0</v>
      </c>
      <c r="EQ20">
        <f t="shared" si="105"/>
        <v>0</v>
      </c>
      <c r="ER20">
        <f t="shared" si="106"/>
        <v>0</v>
      </c>
      <c r="ES20">
        <f t="shared" ca="1" si="107"/>
        <v>0</v>
      </c>
      <c r="ET20">
        <f t="shared" ca="1" si="108"/>
        <v>0</v>
      </c>
      <c r="EU20">
        <f t="shared" ca="1" si="109"/>
        <v>1</v>
      </c>
      <c r="EV20" t="b">
        <f t="shared" si="110"/>
        <v>0</v>
      </c>
      <c r="EW20" s="6" t="b">
        <f t="shared" si="111"/>
        <v>0</v>
      </c>
      <c r="EX20">
        <f>MATCH(EX$2,Spieltage!$C$243:$C$251,0)+242</f>
        <v>244</v>
      </c>
      <c r="EY20" t="e">
        <f>MATCH(EX$2,Spieltage!$E$243:$E$251,0)+242</f>
        <v>#N/A</v>
      </c>
      <c r="EZ20">
        <f t="shared" si="112"/>
        <v>244</v>
      </c>
      <c r="FA20">
        <f ca="1">INDIRECT("Spieltage!$F"&amp;'i2'!EZ20)</f>
        <v>0</v>
      </c>
      <c r="FB20" s="35" t="s">
        <v>12</v>
      </c>
      <c r="FC20" s="97">
        <f ca="1">INDIRECT("Spieltage!$H"&amp;'i2'!EZ20)</f>
        <v>0</v>
      </c>
      <c r="FD20" t="str">
        <f t="shared" si="113"/>
        <v>H</v>
      </c>
      <c r="FE20">
        <f t="shared" si="114"/>
        <v>1</v>
      </c>
      <c r="FF20" t="b">
        <f t="shared" ca="1" si="115"/>
        <v>0</v>
      </c>
      <c r="FG20" t="b">
        <f t="shared" ca="1" si="116"/>
        <v>1</v>
      </c>
      <c r="FH20" t="b">
        <f t="shared" ca="1" si="117"/>
        <v>0</v>
      </c>
      <c r="FI20">
        <f t="shared" si="118"/>
        <v>0</v>
      </c>
      <c r="FJ20">
        <f t="shared" si="119"/>
        <v>0</v>
      </c>
      <c r="FK20">
        <f t="shared" si="120"/>
        <v>0</v>
      </c>
      <c r="FL20">
        <f t="shared" ca="1" si="121"/>
        <v>0</v>
      </c>
      <c r="FM20">
        <f t="shared" ca="1" si="122"/>
        <v>0</v>
      </c>
      <c r="FN20">
        <f t="shared" ca="1" si="123"/>
        <v>1</v>
      </c>
      <c r="FO20" t="b">
        <f t="shared" si="124"/>
        <v>0</v>
      </c>
      <c r="FP20" s="6" t="b">
        <f t="shared" si="125"/>
        <v>0</v>
      </c>
      <c r="FQ20">
        <f>MATCH(FQ$2,Spieltage!$C$243:$C$251,0)+242</f>
        <v>250</v>
      </c>
      <c r="FR20" t="e">
        <f>MATCH(FQ$2,Spieltage!$E$243:$E$251,0)+242</f>
        <v>#N/A</v>
      </c>
      <c r="FS20">
        <f t="shared" si="126"/>
        <v>250</v>
      </c>
      <c r="FT20">
        <f ca="1">INDIRECT("Spieltage!$F"&amp;'i2'!FS20)</f>
        <v>0</v>
      </c>
      <c r="FU20" s="35" t="s">
        <v>12</v>
      </c>
      <c r="FV20" s="97">
        <f ca="1">INDIRECT("Spieltage!$H"&amp;'i2'!FS20)</f>
        <v>0</v>
      </c>
      <c r="FW20" t="str">
        <f t="shared" si="127"/>
        <v>H</v>
      </c>
      <c r="FX20">
        <f t="shared" si="128"/>
        <v>1</v>
      </c>
      <c r="FY20" t="b">
        <f t="shared" ca="1" si="129"/>
        <v>0</v>
      </c>
      <c r="FZ20" t="b">
        <f t="shared" ca="1" si="130"/>
        <v>1</v>
      </c>
      <c r="GA20" t="b">
        <f t="shared" ca="1" si="131"/>
        <v>0</v>
      </c>
      <c r="GB20">
        <f t="shared" si="132"/>
        <v>0</v>
      </c>
      <c r="GC20">
        <f t="shared" si="133"/>
        <v>0</v>
      </c>
      <c r="GD20">
        <f t="shared" si="134"/>
        <v>0</v>
      </c>
      <c r="GE20">
        <f t="shared" ca="1" si="135"/>
        <v>0</v>
      </c>
      <c r="GF20">
        <f t="shared" ca="1" si="136"/>
        <v>0</v>
      </c>
      <c r="GG20">
        <f t="shared" ca="1" si="137"/>
        <v>1</v>
      </c>
      <c r="GH20" t="b">
        <f t="shared" si="138"/>
        <v>0</v>
      </c>
      <c r="GI20" s="6" t="b">
        <f t="shared" si="139"/>
        <v>0</v>
      </c>
      <c r="GJ20" t="e">
        <f>MATCH(GJ$2,Spieltage!$C$243:$C$251,0)+242</f>
        <v>#N/A</v>
      </c>
      <c r="GK20">
        <f>MATCH(GJ$2,Spieltage!$E$243:$E$251,0)+242</f>
        <v>249</v>
      </c>
      <c r="GL20">
        <f t="shared" si="140"/>
        <v>249</v>
      </c>
      <c r="GM20">
        <f ca="1">INDIRECT("Spieltage!$F"&amp;'i2'!GL20)</f>
        <v>0</v>
      </c>
      <c r="GN20" s="35" t="s">
        <v>12</v>
      </c>
      <c r="GO20" s="97">
        <f ca="1">INDIRECT("Spieltage!$H"&amp;'i2'!GL20)</f>
        <v>0</v>
      </c>
      <c r="GP20" t="str">
        <f t="shared" si="141"/>
        <v>A</v>
      </c>
      <c r="GQ20">
        <f t="shared" si="142"/>
        <v>2</v>
      </c>
      <c r="GR20">
        <f t="shared" si="143"/>
        <v>0</v>
      </c>
      <c r="GS20">
        <f t="shared" si="144"/>
        <v>0</v>
      </c>
      <c r="GT20">
        <f t="shared" si="145"/>
        <v>0</v>
      </c>
      <c r="GU20" t="b">
        <f t="shared" ca="1" si="146"/>
        <v>0</v>
      </c>
      <c r="GV20" t="b">
        <f t="shared" ca="1" si="147"/>
        <v>1</v>
      </c>
      <c r="GW20" t="b">
        <f t="shared" ca="1" si="148"/>
        <v>0</v>
      </c>
      <c r="GX20">
        <f t="shared" ca="1" si="149"/>
        <v>0</v>
      </c>
      <c r="GY20" t="b">
        <f t="shared" si="150"/>
        <v>0</v>
      </c>
      <c r="GZ20" t="b">
        <f t="shared" si="151"/>
        <v>0</v>
      </c>
      <c r="HA20">
        <f t="shared" ca="1" si="152"/>
        <v>0</v>
      </c>
      <c r="HB20" s="6">
        <f t="shared" ca="1" si="153"/>
        <v>1</v>
      </c>
      <c r="HC20">
        <f>MATCH(HC$2,Spieltage!$C$243:$C$251,0)+242</f>
        <v>251</v>
      </c>
      <c r="HD20" t="e">
        <f>MATCH(HC$2,Spieltage!$E$243:$E$251,0)+242</f>
        <v>#N/A</v>
      </c>
      <c r="HE20">
        <f t="shared" si="154"/>
        <v>251</v>
      </c>
      <c r="HF20">
        <f ca="1">INDIRECT("Spieltage!$F"&amp;'i2'!HE20)</f>
        <v>0</v>
      </c>
      <c r="HG20" s="35" t="s">
        <v>12</v>
      </c>
      <c r="HH20" s="97">
        <f ca="1">INDIRECT("Spieltage!$H"&amp;'i2'!HE20)</f>
        <v>0</v>
      </c>
      <c r="HI20" t="str">
        <f t="shared" si="155"/>
        <v>H</v>
      </c>
      <c r="HJ20">
        <f t="shared" si="156"/>
        <v>1</v>
      </c>
      <c r="HK20" t="b">
        <f t="shared" ca="1" si="157"/>
        <v>0</v>
      </c>
      <c r="HL20" t="b">
        <f t="shared" ca="1" si="158"/>
        <v>1</v>
      </c>
      <c r="HM20" t="b">
        <f t="shared" ca="1" si="159"/>
        <v>0</v>
      </c>
      <c r="HN20">
        <f t="shared" si="160"/>
        <v>0</v>
      </c>
      <c r="HO20">
        <f t="shared" si="161"/>
        <v>0</v>
      </c>
      <c r="HP20">
        <f t="shared" si="162"/>
        <v>0</v>
      </c>
      <c r="HQ20">
        <f t="shared" ca="1" si="163"/>
        <v>0</v>
      </c>
      <c r="HR20">
        <f t="shared" ca="1" si="164"/>
        <v>0</v>
      </c>
      <c r="HS20">
        <f t="shared" ca="1" si="165"/>
        <v>1</v>
      </c>
      <c r="HT20" t="b">
        <f t="shared" si="166"/>
        <v>0</v>
      </c>
      <c r="HU20" s="6" t="b">
        <f t="shared" si="167"/>
        <v>0</v>
      </c>
      <c r="HV20" t="e">
        <f>MATCH(HV$2,Spieltage!$C$243:$C$251,0)+242</f>
        <v>#N/A</v>
      </c>
      <c r="HW20">
        <f>MATCH(HV$2,Spieltage!$E$243:$E$251,0)+242</f>
        <v>248</v>
      </c>
      <c r="HX20">
        <f t="shared" si="168"/>
        <v>248</v>
      </c>
      <c r="HY20">
        <f ca="1">INDIRECT("Spieltage!$F"&amp;'i2'!HX20)</f>
        <v>0</v>
      </c>
      <c r="HZ20" s="35" t="s">
        <v>12</v>
      </c>
      <c r="IA20" s="97">
        <f ca="1">INDIRECT("Spieltage!$H"&amp;'i2'!HX20)</f>
        <v>0</v>
      </c>
      <c r="IB20" t="str">
        <f t="shared" si="169"/>
        <v>A</v>
      </c>
      <c r="IC20">
        <f t="shared" si="170"/>
        <v>2</v>
      </c>
      <c r="ID20">
        <f t="shared" si="171"/>
        <v>0</v>
      </c>
      <c r="IE20">
        <f t="shared" si="172"/>
        <v>0</v>
      </c>
      <c r="IF20">
        <f t="shared" si="173"/>
        <v>0</v>
      </c>
      <c r="IG20" t="b">
        <f t="shared" ca="1" si="174"/>
        <v>0</v>
      </c>
      <c r="IH20" t="b">
        <f t="shared" ca="1" si="175"/>
        <v>1</v>
      </c>
      <c r="II20" t="b">
        <f t="shared" ca="1" si="176"/>
        <v>0</v>
      </c>
      <c r="IJ20">
        <f t="shared" ca="1" si="177"/>
        <v>0</v>
      </c>
      <c r="IK20" t="b">
        <f t="shared" si="178"/>
        <v>0</v>
      </c>
      <c r="IL20" t="b">
        <f t="shared" si="179"/>
        <v>0</v>
      </c>
      <c r="IM20">
        <f t="shared" ca="1" si="180"/>
        <v>0</v>
      </c>
      <c r="IN20" s="6">
        <f t="shared" ca="1" si="181"/>
        <v>1</v>
      </c>
      <c r="IO20">
        <f>MATCH(IO$2,Spieltage!$C$243:$C$251,0)+242</f>
        <v>246</v>
      </c>
      <c r="IP20" t="e">
        <f>MATCH(IO$2,Spieltage!$E$243:$E$251,0)+242</f>
        <v>#N/A</v>
      </c>
      <c r="IQ20">
        <f t="shared" si="182"/>
        <v>246</v>
      </c>
      <c r="IR20">
        <f ca="1">INDIRECT("Spieltage!$F"&amp;'i2'!IQ20)</f>
        <v>0</v>
      </c>
      <c r="IS20" s="35" t="s">
        <v>12</v>
      </c>
      <c r="IT20" s="97">
        <f ca="1">INDIRECT("Spieltage!$H"&amp;'i2'!IQ20)</f>
        <v>0</v>
      </c>
      <c r="IU20" t="str">
        <f t="shared" si="183"/>
        <v>H</v>
      </c>
      <c r="IV20">
        <f t="shared" si="184"/>
        <v>1</v>
      </c>
      <c r="IW20" t="b">
        <f t="shared" ca="1" si="185"/>
        <v>0</v>
      </c>
      <c r="IX20" t="b">
        <f t="shared" ca="1" si="186"/>
        <v>1</v>
      </c>
      <c r="IY20" t="b">
        <f t="shared" ca="1" si="187"/>
        <v>0</v>
      </c>
      <c r="IZ20">
        <f t="shared" si="188"/>
        <v>0</v>
      </c>
      <c r="JA20">
        <f t="shared" si="189"/>
        <v>0</v>
      </c>
      <c r="JB20">
        <f t="shared" si="190"/>
        <v>0</v>
      </c>
      <c r="JC20">
        <f t="shared" ca="1" si="191"/>
        <v>0</v>
      </c>
      <c r="JD20">
        <f t="shared" ca="1" si="192"/>
        <v>0</v>
      </c>
      <c r="JE20">
        <f t="shared" ca="1" si="193"/>
        <v>1</v>
      </c>
      <c r="JF20" t="b">
        <f t="shared" si="194"/>
        <v>0</v>
      </c>
      <c r="JG20" s="6" t="b">
        <f t="shared" si="195"/>
        <v>0</v>
      </c>
      <c r="JH20" t="e">
        <f>MATCH(JH$2,Spieltage!$C$243:$C$251,0)+242</f>
        <v>#N/A</v>
      </c>
      <c r="JI20">
        <f>MATCH(JH$2,Spieltage!$E$243:$E$251,0)+242</f>
        <v>247</v>
      </c>
      <c r="JJ20">
        <f t="shared" si="196"/>
        <v>247</v>
      </c>
      <c r="JK20">
        <f ca="1">INDIRECT("Spieltage!$F"&amp;'i2'!JJ20)</f>
        <v>0</v>
      </c>
      <c r="JL20" s="35" t="s">
        <v>12</v>
      </c>
      <c r="JM20" s="97">
        <f ca="1">INDIRECT("Spieltage!$H"&amp;'i2'!JJ20)</f>
        <v>0</v>
      </c>
      <c r="JN20" t="str">
        <f t="shared" si="197"/>
        <v>A</v>
      </c>
      <c r="JO20">
        <f t="shared" si="198"/>
        <v>2</v>
      </c>
      <c r="JP20">
        <f t="shared" si="199"/>
        <v>0</v>
      </c>
      <c r="JQ20">
        <f t="shared" si="200"/>
        <v>0</v>
      </c>
      <c r="JR20">
        <f t="shared" si="201"/>
        <v>0</v>
      </c>
      <c r="JS20" t="b">
        <f t="shared" ca="1" si="202"/>
        <v>0</v>
      </c>
      <c r="JT20" t="b">
        <f t="shared" ca="1" si="203"/>
        <v>1</v>
      </c>
      <c r="JU20" t="b">
        <f t="shared" ca="1" si="204"/>
        <v>0</v>
      </c>
      <c r="JV20">
        <f t="shared" ca="1" si="205"/>
        <v>0</v>
      </c>
      <c r="JW20" t="b">
        <f t="shared" si="206"/>
        <v>0</v>
      </c>
      <c r="JX20" t="b">
        <f t="shared" si="207"/>
        <v>0</v>
      </c>
      <c r="JY20">
        <f t="shared" ca="1" si="208"/>
        <v>0</v>
      </c>
      <c r="JZ20" s="6">
        <f t="shared" ca="1" si="209"/>
        <v>1</v>
      </c>
      <c r="KA20">
        <f>MATCH(KA$2,Spieltage!$C$243:$C$251,0)+242</f>
        <v>243</v>
      </c>
      <c r="KB20" t="e">
        <f>MATCH(KA$2,Spieltage!$E$243:$E$251,0)+242</f>
        <v>#N/A</v>
      </c>
      <c r="KC20">
        <f t="shared" si="210"/>
        <v>243</v>
      </c>
      <c r="KD20">
        <f ca="1">INDIRECT("Spieltage!$F"&amp;'i2'!KC20)</f>
        <v>0</v>
      </c>
      <c r="KE20" s="35" t="s">
        <v>12</v>
      </c>
      <c r="KF20" s="97">
        <f ca="1">INDIRECT("Spieltage!$H"&amp;'i2'!KC20)</f>
        <v>0</v>
      </c>
      <c r="KG20" t="str">
        <f t="shared" si="211"/>
        <v>H</v>
      </c>
      <c r="KH20">
        <f t="shared" si="212"/>
        <v>1</v>
      </c>
      <c r="KI20" t="b">
        <f t="shared" ca="1" si="213"/>
        <v>0</v>
      </c>
      <c r="KJ20" t="b">
        <f t="shared" ca="1" si="214"/>
        <v>1</v>
      </c>
      <c r="KK20" t="b">
        <f t="shared" ca="1" si="215"/>
        <v>0</v>
      </c>
      <c r="KL20">
        <f t="shared" si="216"/>
        <v>0</v>
      </c>
      <c r="KM20">
        <f t="shared" si="217"/>
        <v>0</v>
      </c>
      <c r="KN20">
        <f t="shared" si="218"/>
        <v>0</v>
      </c>
      <c r="KO20">
        <f t="shared" ca="1" si="219"/>
        <v>0</v>
      </c>
      <c r="KP20">
        <f t="shared" ca="1" si="220"/>
        <v>0</v>
      </c>
      <c r="KQ20">
        <f t="shared" ca="1" si="221"/>
        <v>1</v>
      </c>
      <c r="KR20" t="b">
        <f t="shared" si="222"/>
        <v>0</v>
      </c>
      <c r="KS20" s="6" t="b">
        <f t="shared" si="223"/>
        <v>0</v>
      </c>
      <c r="KT20" t="e">
        <f>MATCH(KT$2,Spieltage!$C$243:$C$251,0)+242</f>
        <v>#N/A</v>
      </c>
      <c r="KU20">
        <f>MATCH(KT$2,Spieltage!$E$243:$E$251,0)+242</f>
        <v>244</v>
      </c>
      <c r="KV20">
        <f t="shared" si="224"/>
        <v>244</v>
      </c>
      <c r="KW20">
        <f ca="1">INDIRECT("Spieltage!$F"&amp;'i2'!KV20)</f>
        <v>0</v>
      </c>
      <c r="KX20" s="35" t="s">
        <v>12</v>
      </c>
      <c r="KY20" s="97">
        <f ca="1">INDIRECT("Spieltage!$H"&amp;'i2'!KV20)</f>
        <v>0</v>
      </c>
      <c r="KZ20" t="str">
        <f t="shared" si="225"/>
        <v>A</v>
      </c>
      <c r="LA20">
        <f t="shared" si="226"/>
        <v>2</v>
      </c>
      <c r="LB20">
        <f t="shared" si="227"/>
        <v>0</v>
      </c>
      <c r="LC20">
        <f t="shared" si="228"/>
        <v>0</v>
      </c>
      <c r="LD20">
        <f t="shared" si="229"/>
        <v>0</v>
      </c>
      <c r="LE20" t="b">
        <f t="shared" ca="1" si="230"/>
        <v>0</v>
      </c>
      <c r="LF20" t="b">
        <f t="shared" ca="1" si="231"/>
        <v>1</v>
      </c>
      <c r="LG20" t="b">
        <f t="shared" ca="1" si="232"/>
        <v>0</v>
      </c>
      <c r="LH20">
        <f t="shared" ca="1" si="233"/>
        <v>0</v>
      </c>
      <c r="LI20" t="b">
        <f t="shared" si="234"/>
        <v>0</v>
      </c>
      <c r="LJ20" t="b">
        <f t="shared" si="235"/>
        <v>0</v>
      </c>
      <c r="LK20">
        <f t="shared" ca="1" si="236"/>
        <v>0</v>
      </c>
      <c r="LL20" s="6">
        <f t="shared" ca="1" si="237"/>
        <v>1</v>
      </c>
      <c r="LM20">
        <f>MATCH(LM$2,Spieltage!$C$243:$C$251,0)+242</f>
        <v>247</v>
      </c>
      <c r="LN20" t="e">
        <f>MATCH(LM$2,Spieltage!$E$243:$E$251,0)+242</f>
        <v>#N/A</v>
      </c>
      <c r="LO20">
        <f t="shared" si="238"/>
        <v>247</v>
      </c>
      <c r="LP20">
        <f ca="1">INDIRECT("Spieltage!$F"&amp;'i2'!LO20)</f>
        <v>0</v>
      </c>
      <c r="LQ20" s="35" t="s">
        <v>12</v>
      </c>
      <c r="LR20" s="97">
        <f ca="1">INDIRECT("Spieltage!$H"&amp;'i2'!LO20)</f>
        <v>0</v>
      </c>
      <c r="LS20" t="str">
        <f t="shared" si="239"/>
        <v>H</v>
      </c>
      <c r="LT20">
        <f t="shared" si="240"/>
        <v>1</v>
      </c>
      <c r="LU20" t="b">
        <f t="shared" ca="1" si="241"/>
        <v>0</v>
      </c>
      <c r="LV20" t="b">
        <f t="shared" ca="1" si="242"/>
        <v>1</v>
      </c>
      <c r="LW20" t="b">
        <f t="shared" ca="1" si="243"/>
        <v>0</v>
      </c>
      <c r="LX20">
        <f t="shared" si="244"/>
        <v>0</v>
      </c>
      <c r="LY20">
        <f t="shared" si="245"/>
        <v>0</v>
      </c>
      <c r="LZ20">
        <f t="shared" si="246"/>
        <v>0</v>
      </c>
      <c r="MA20">
        <f t="shared" ca="1" si="247"/>
        <v>0</v>
      </c>
      <c r="MB20">
        <f t="shared" ca="1" si="248"/>
        <v>0</v>
      </c>
      <c r="MC20">
        <f t="shared" ca="1" si="249"/>
        <v>1</v>
      </c>
      <c r="MD20" t="b">
        <f t="shared" si="250"/>
        <v>0</v>
      </c>
      <c r="ME20" s="6" t="b">
        <f t="shared" si="251"/>
        <v>0</v>
      </c>
    </row>
    <row r="21" spans="1:343" x14ac:dyDescent="0.2">
      <c r="A21" s="104" t="s">
        <v>229</v>
      </c>
      <c r="B21" t="e">
        <f>MATCH(B$2,Spieltage!$C$258:$C$266,0)+257</f>
        <v>#N/A</v>
      </c>
      <c r="C21">
        <f>MATCH(B$2,Spieltage!$E$258:$E$266,0)+257</f>
        <v>258</v>
      </c>
      <c r="D21">
        <f t="shared" si="0"/>
        <v>258</v>
      </c>
      <c r="E21">
        <f ca="1">INDIRECT("Spieltage!$F"&amp;'i2'!D21)</f>
        <v>0</v>
      </c>
      <c r="F21" s="35" t="s">
        <v>12</v>
      </c>
      <c r="G21" s="97">
        <f ca="1">INDIRECT("Spieltage!$H"&amp;'i2'!D21)</f>
        <v>0</v>
      </c>
      <c r="H21" t="str">
        <f t="shared" si="1"/>
        <v>A</v>
      </c>
      <c r="I21">
        <f t="shared" si="2"/>
        <v>2</v>
      </c>
      <c r="J21">
        <f t="shared" si="3"/>
        <v>0</v>
      </c>
      <c r="K21">
        <f t="shared" si="4"/>
        <v>0</v>
      </c>
      <c r="L21">
        <f t="shared" si="5"/>
        <v>0</v>
      </c>
      <c r="M21" t="b">
        <f t="shared" ca="1" si="6"/>
        <v>0</v>
      </c>
      <c r="N21" t="b">
        <f t="shared" ca="1" si="7"/>
        <v>1</v>
      </c>
      <c r="O21" t="b">
        <f t="shared" ca="1" si="8"/>
        <v>0</v>
      </c>
      <c r="P21">
        <f t="shared" ca="1" si="9"/>
        <v>0</v>
      </c>
      <c r="Q21" t="b">
        <f t="shared" si="10"/>
        <v>0</v>
      </c>
      <c r="R21" t="b">
        <f t="shared" si="11"/>
        <v>0</v>
      </c>
      <c r="S21">
        <f t="shared" ca="1" si="12"/>
        <v>0</v>
      </c>
      <c r="T21" s="6">
        <f t="shared" ca="1" si="13"/>
        <v>1</v>
      </c>
      <c r="U21">
        <f>MATCH(U$2,Spieltage!$C$258:$C$266,0)+257</f>
        <v>258</v>
      </c>
      <c r="V21" t="e">
        <f>MATCH(U$2,Spieltage!$E$258:$E$266,0)+257</f>
        <v>#N/A</v>
      </c>
      <c r="W21">
        <f t="shared" si="14"/>
        <v>258</v>
      </c>
      <c r="X21">
        <f ca="1">INDIRECT("Spieltage!$F"&amp;'i2'!W21)</f>
        <v>0</v>
      </c>
      <c r="Y21" s="35" t="s">
        <v>12</v>
      </c>
      <c r="Z21" s="97">
        <f ca="1">INDIRECT("Spieltage!$H"&amp;'i2'!W21)</f>
        <v>0</v>
      </c>
      <c r="AA21" t="str">
        <f t="shared" si="15"/>
        <v>H</v>
      </c>
      <c r="AB21">
        <f t="shared" si="16"/>
        <v>1</v>
      </c>
      <c r="AC21" t="b">
        <f t="shared" ca="1" si="17"/>
        <v>0</v>
      </c>
      <c r="AD21" t="b">
        <f t="shared" ca="1" si="18"/>
        <v>1</v>
      </c>
      <c r="AE21" t="b">
        <f t="shared" ca="1" si="19"/>
        <v>0</v>
      </c>
      <c r="AF21">
        <f t="shared" si="20"/>
        <v>0</v>
      </c>
      <c r="AG21">
        <f t="shared" si="21"/>
        <v>0</v>
      </c>
      <c r="AH21">
        <f t="shared" si="22"/>
        <v>0</v>
      </c>
      <c r="AI21">
        <f t="shared" ca="1" si="23"/>
        <v>0</v>
      </c>
      <c r="AJ21">
        <f t="shared" ca="1" si="24"/>
        <v>0</v>
      </c>
      <c r="AK21">
        <f t="shared" ca="1" si="25"/>
        <v>1</v>
      </c>
      <c r="AL21" t="b">
        <f t="shared" si="26"/>
        <v>0</v>
      </c>
      <c r="AM21" s="6" t="b">
        <f t="shared" si="27"/>
        <v>0</v>
      </c>
      <c r="AN21" t="e">
        <f>MATCH(AN$2,Spieltage!$C$258:$C$266,0)+257</f>
        <v>#N/A</v>
      </c>
      <c r="AO21">
        <f>MATCH(AN$2,Spieltage!$E$258:$E$266,0)+257</f>
        <v>259</v>
      </c>
      <c r="AP21">
        <f t="shared" si="28"/>
        <v>259</v>
      </c>
      <c r="AQ21">
        <f ca="1">INDIRECT("Spieltage!$F"&amp;'i2'!AP21)</f>
        <v>0</v>
      </c>
      <c r="AR21" s="35" t="s">
        <v>12</v>
      </c>
      <c r="AS21" s="97">
        <f ca="1">INDIRECT("Spieltage!$H"&amp;'i2'!AP21)</f>
        <v>0</v>
      </c>
      <c r="AT21" t="str">
        <f t="shared" si="29"/>
        <v>A</v>
      </c>
      <c r="AU21">
        <f t="shared" si="30"/>
        <v>2</v>
      </c>
      <c r="AV21">
        <f t="shared" si="31"/>
        <v>0</v>
      </c>
      <c r="AW21">
        <f t="shared" si="32"/>
        <v>0</v>
      </c>
      <c r="AX21">
        <f t="shared" si="33"/>
        <v>0</v>
      </c>
      <c r="AY21" t="b">
        <f t="shared" ca="1" si="34"/>
        <v>0</v>
      </c>
      <c r="AZ21" t="b">
        <f t="shared" ca="1" si="35"/>
        <v>1</v>
      </c>
      <c r="BA21" t="b">
        <f t="shared" ca="1" si="36"/>
        <v>0</v>
      </c>
      <c r="BB21">
        <f t="shared" ca="1" si="37"/>
        <v>0</v>
      </c>
      <c r="BC21" t="b">
        <f t="shared" si="38"/>
        <v>0</v>
      </c>
      <c r="BD21" t="b">
        <f t="shared" si="39"/>
        <v>0</v>
      </c>
      <c r="BE21">
        <f t="shared" ca="1" si="40"/>
        <v>0</v>
      </c>
      <c r="BF21" s="6">
        <f t="shared" ca="1" si="41"/>
        <v>1</v>
      </c>
      <c r="BG21">
        <f>MATCH(BG$2,Spieltage!$C$258:$C$266,0)+257</f>
        <v>259</v>
      </c>
      <c r="BH21" t="e">
        <f>MATCH(BG$2,Spieltage!$E$258:$E$266,0)+257</f>
        <v>#N/A</v>
      </c>
      <c r="BI21">
        <f t="shared" si="42"/>
        <v>259</v>
      </c>
      <c r="BJ21">
        <f ca="1">INDIRECT("Spieltage!$F"&amp;'i2'!BI21)</f>
        <v>0</v>
      </c>
      <c r="BK21" s="35" t="s">
        <v>12</v>
      </c>
      <c r="BL21" s="97">
        <f ca="1">INDIRECT("Spieltage!$H"&amp;'i2'!BI21)</f>
        <v>0</v>
      </c>
      <c r="BM21" t="str">
        <f t="shared" si="43"/>
        <v>H</v>
      </c>
      <c r="BN21">
        <f t="shared" si="44"/>
        <v>1</v>
      </c>
      <c r="BO21" t="b">
        <f t="shared" ca="1" si="45"/>
        <v>0</v>
      </c>
      <c r="BP21" t="b">
        <f t="shared" ca="1" si="46"/>
        <v>1</v>
      </c>
      <c r="BQ21" t="b">
        <f t="shared" ca="1" si="47"/>
        <v>0</v>
      </c>
      <c r="BR21">
        <f t="shared" si="48"/>
        <v>0</v>
      </c>
      <c r="BS21">
        <f t="shared" si="49"/>
        <v>0</v>
      </c>
      <c r="BT21">
        <f t="shared" si="50"/>
        <v>0</v>
      </c>
      <c r="BU21">
        <f t="shared" ca="1" si="51"/>
        <v>0</v>
      </c>
      <c r="BV21">
        <f t="shared" ca="1" si="52"/>
        <v>0</v>
      </c>
      <c r="BW21">
        <f t="shared" ca="1" si="53"/>
        <v>1</v>
      </c>
      <c r="BX21" t="b">
        <f t="shared" si="54"/>
        <v>0</v>
      </c>
      <c r="BY21" s="6" t="b">
        <f t="shared" si="55"/>
        <v>0</v>
      </c>
      <c r="BZ21" t="e">
        <f>MATCH(BZ$2,Spieltage!$C$258:$C$266,0)+257</f>
        <v>#N/A</v>
      </c>
      <c r="CA21">
        <f>MATCH(BZ$2,Spieltage!$E$258:$E$266,0)+257</f>
        <v>260</v>
      </c>
      <c r="CB21">
        <f t="shared" si="56"/>
        <v>260</v>
      </c>
      <c r="CC21">
        <f ca="1">INDIRECT("Spieltage!$F"&amp;'i2'!CB21)</f>
        <v>0</v>
      </c>
      <c r="CD21" s="35" t="s">
        <v>12</v>
      </c>
      <c r="CE21" s="97">
        <f ca="1">INDIRECT("Spieltage!$H"&amp;'i2'!CB21)</f>
        <v>0</v>
      </c>
      <c r="CF21" t="str">
        <f t="shared" si="57"/>
        <v>A</v>
      </c>
      <c r="CG21">
        <f t="shared" si="58"/>
        <v>2</v>
      </c>
      <c r="CH21">
        <f t="shared" si="59"/>
        <v>0</v>
      </c>
      <c r="CI21">
        <f t="shared" si="60"/>
        <v>0</v>
      </c>
      <c r="CJ21">
        <f t="shared" si="61"/>
        <v>0</v>
      </c>
      <c r="CK21" t="b">
        <f t="shared" ca="1" si="62"/>
        <v>0</v>
      </c>
      <c r="CL21" t="b">
        <f t="shared" ca="1" si="63"/>
        <v>1</v>
      </c>
      <c r="CM21" t="b">
        <f t="shared" ca="1" si="64"/>
        <v>0</v>
      </c>
      <c r="CN21">
        <f t="shared" ca="1" si="65"/>
        <v>0</v>
      </c>
      <c r="CO21" t="b">
        <f t="shared" si="66"/>
        <v>0</v>
      </c>
      <c r="CP21" t="b">
        <f t="shared" si="67"/>
        <v>0</v>
      </c>
      <c r="CQ21">
        <f t="shared" ca="1" si="68"/>
        <v>0</v>
      </c>
      <c r="CR21" s="6">
        <f t="shared" ca="1" si="69"/>
        <v>1</v>
      </c>
      <c r="CS21">
        <f>MATCH(CS$2,Spieltage!$C$258:$C$266,0)+257</f>
        <v>260</v>
      </c>
      <c r="CT21" t="e">
        <f>MATCH(CS$2,Spieltage!$E$258:$E$266,0)+257</f>
        <v>#N/A</v>
      </c>
      <c r="CU21">
        <f t="shared" si="70"/>
        <v>260</v>
      </c>
      <c r="CV21">
        <f ca="1">INDIRECT("Spieltage!$F"&amp;'i2'!CU21)</f>
        <v>0</v>
      </c>
      <c r="CW21" s="35" t="s">
        <v>12</v>
      </c>
      <c r="CX21" s="97">
        <f ca="1">INDIRECT("Spieltage!$H"&amp;'i2'!CU21)</f>
        <v>0</v>
      </c>
      <c r="CY21" t="str">
        <f t="shared" si="71"/>
        <v>H</v>
      </c>
      <c r="CZ21">
        <f t="shared" si="72"/>
        <v>1</v>
      </c>
      <c r="DA21" t="b">
        <f t="shared" ca="1" si="73"/>
        <v>0</v>
      </c>
      <c r="DB21" t="b">
        <f t="shared" ca="1" si="74"/>
        <v>1</v>
      </c>
      <c r="DC21" t="b">
        <f t="shared" ca="1" si="75"/>
        <v>0</v>
      </c>
      <c r="DD21">
        <f t="shared" si="76"/>
        <v>0</v>
      </c>
      <c r="DE21">
        <f t="shared" si="77"/>
        <v>0</v>
      </c>
      <c r="DF21">
        <f t="shared" si="78"/>
        <v>0</v>
      </c>
      <c r="DG21">
        <f t="shared" ca="1" si="79"/>
        <v>0</v>
      </c>
      <c r="DH21">
        <f t="shared" ca="1" si="80"/>
        <v>0</v>
      </c>
      <c r="DI21">
        <f t="shared" ca="1" si="81"/>
        <v>1</v>
      </c>
      <c r="DJ21" t="b">
        <f t="shared" si="82"/>
        <v>0</v>
      </c>
      <c r="DK21" s="6" t="b">
        <f t="shared" si="83"/>
        <v>0</v>
      </c>
      <c r="DL21" t="e">
        <f>MATCH(DL$2,Spieltage!$C$258:$C$266,0)+257</f>
        <v>#N/A</v>
      </c>
      <c r="DM21">
        <f>MATCH(DL$2,Spieltage!$E$258:$E$266,0)+257</f>
        <v>261</v>
      </c>
      <c r="DN21">
        <f t="shared" si="84"/>
        <v>261</v>
      </c>
      <c r="DO21">
        <f ca="1">INDIRECT("Spieltage!$F"&amp;'i2'!DN21)</f>
        <v>0</v>
      </c>
      <c r="DP21" s="35" t="s">
        <v>12</v>
      </c>
      <c r="DQ21" s="97">
        <f ca="1">INDIRECT("Spieltage!$H"&amp;'i2'!DN21)</f>
        <v>0</v>
      </c>
      <c r="DR21" t="str">
        <f t="shared" si="85"/>
        <v>A</v>
      </c>
      <c r="DS21">
        <f t="shared" si="86"/>
        <v>2</v>
      </c>
      <c r="DT21">
        <f t="shared" si="87"/>
        <v>0</v>
      </c>
      <c r="DU21">
        <f t="shared" si="88"/>
        <v>0</v>
      </c>
      <c r="DV21">
        <f t="shared" si="89"/>
        <v>0</v>
      </c>
      <c r="DW21" t="b">
        <f t="shared" ca="1" si="90"/>
        <v>0</v>
      </c>
      <c r="DX21" t="b">
        <f t="shared" ca="1" si="91"/>
        <v>1</v>
      </c>
      <c r="DY21" t="b">
        <f t="shared" ca="1" si="92"/>
        <v>0</v>
      </c>
      <c r="DZ21">
        <f t="shared" ca="1" si="93"/>
        <v>0</v>
      </c>
      <c r="EA21" t="b">
        <f t="shared" si="94"/>
        <v>0</v>
      </c>
      <c r="EB21" t="b">
        <f t="shared" si="95"/>
        <v>0</v>
      </c>
      <c r="EC21">
        <f t="shared" ca="1" si="96"/>
        <v>0</v>
      </c>
      <c r="ED21" s="6">
        <f t="shared" ca="1" si="97"/>
        <v>1</v>
      </c>
      <c r="EE21">
        <f>MATCH(EE$2,Spieltage!$C$258:$C$266,0)+257</f>
        <v>261</v>
      </c>
      <c r="EF21" t="e">
        <f>MATCH(EE$2,Spieltage!$E$258:$E$266,0)+257</f>
        <v>#N/A</v>
      </c>
      <c r="EG21">
        <f t="shared" si="98"/>
        <v>261</v>
      </c>
      <c r="EH21">
        <f ca="1">INDIRECT("Spieltage!$F"&amp;'i2'!EG21)</f>
        <v>0</v>
      </c>
      <c r="EI21" s="35" t="s">
        <v>12</v>
      </c>
      <c r="EJ21" s="97">
        <f ca="1">INDIRECT("Spieltage!$H"&amp;'i2'!EG21)</f>
        <v>0</v>
      </c>
      <c r="EK21" t="str">
        <f t="shared" si="99"/>
        <v>H</v>
      </c>
      <c r="EL21">
        <f t="shared" si="100"/>
        <v>1</v>
      </c>
      <c r="EM21" t="b">
        <f t="shared" ca="1" si="101"/>
        <v>0</v>
      </c>
      <c r="EN21" t="b">
        <f t="shared" ca="1" si="102"/>
        <v>1</v>
      </c>
      <c r="EO21" t="b">
        <f t="shared" ca="1" si="103"/>
        <v>0</v>
      </c>
      <c r="EP21">
        <f t="shared" si="104"/>
        <v>0</v>
      </c>
      <c r="EQ21">
        <f t="shared" si="105"/>
        <v>0</v>
      </c>
      <c r="ER21">
        <f t="shared" si="106"/>
        <v>0</v>
      </c>
      <c r="ES21">
        <f t="shared" ca="1" si="107"/>
        <v>0</v>
      </c>
      <c r="ET21">
        <f t="shared" ca="1" si="108"/>
        <v>0</v>
      </c>
      <c r="EU21">
        <f t="shared" ca="1" si="109"/>
        <v>1</v>
      </c>
      <c r="EV21" t="b">
        <f t="shared" si="110"/>
        <v>0</v>
      </c>
      <c r="EW21" s="6" t="b">
        <f t="shared" si="111"/>
        <v>0</v>
      </c>
      <c r="EX21" t="e">
        <f>MATCH(EX$2,Spieltage!$C$258:$C$266,0)+257</f>
        <v>#N/A</v>
      </c>
      <c r="EY21">
        <f>MATCH(EX$2,Spieltage!$E$258:$E$266,0)+257</f>
        <v>262</v>
      </c>
      <c r="EZ21">
        <f t="shared" si="112"/>
        <v>262</v>
      </c>
      <c r="FA21">
        <f ca="1">INDIRECT("Spieltage!$F"&amp;'i2'!EZ21)</f>
        <v>0</v>
      </c>
      <c r="FB21" s="35" t="s">
        <v>12</v>
      </c>
      <c r="FC21" s="97">
        <f ca="1">INDIRECT("Spieltage!$H"&amp;'i2'!EZ21)</f>
        <v>0</v>
      </c>
      <c r="FD21" t="str">
        <f t="shared" si="113"/>
        <v>A</v>
      </c>
      <c r="FE21">
        <f t="shared" si="114"/>
        <v>2</v>
      </c>
      <c r="FF21">
        <f t="shared" si="115"/>
        <v>0</v>
      </c>
      <c r="FG21">
        <f t="shared" si="116"/>
        <v>0</v>
      </c>
      <c r="FH21">
        <f t="shared" si="117"/>
        <v>0</v>
      </c>
      <c r="FI21" t="b">
        <f t="shared" ca="1" si="118"/>
        <v>0</v>
      </c>
      <c r="FJ21" t="b">
        <f t="shared" ca="1" si="119"/>
        <v>1</v>
      </c>
      <c r="FK21" t="b">
        <f t="shared" ca="1" si="120"/>
        <v>0</v>
      </c>
      <c r="FL21">
        <f t="shared" ca="1" si="121"/>
        <v>0</v>
      </c>
      <c r="FM21" t="b">
        <f t="shared" si="122"/>
        <v>0</v>
      </c>
      <c r="FN21" t="b">
        <f t="shared" si="123"/>
        <v>0</v>
      </c>
      <c r="FO21">
        <f t="shared" ca="1" si="124"/>
        <v>0</v>
      </c>
      <c r="FP21" s="6">
        <f t="shared" ca="1" si="125"/>
        <v>1</v>
      </c>
      <c r="FQ21">
        <f>MATCH(FQ$2,Spieltage!$C$258:$C$266,0)+257</f>
        <v>262</v>
      </c>
      <c r="FR21" t="e">
        <f>MATCH(FQ$2,Spieltage!$E$258:$E$266,0)+257</f>
        <v>#N/A</v>
      </c>
      <c r="FS21">
        <f t="shared" si="126"/>
        <v>262</v>
      </c>
      <c r="FT21">
        <f ca="1">INDIRECT("Spieltage!$F"&amp;'i2'!FS21)</f>
        <v>0</v>
      </c>
      <c r="FU21" s="35" t="s">
        <v>12</v>
      </c>
      <c r="FV21" s="97">
        <f ca="1">INDIRECT("Spieltage!$H"&amp;'i2'!FS21)</f>
        <v>0</v>
      </c>
      <c r="FW21" t="str">
        <f t="shared" si="127"/>
        <v>H</v>
      </c>
      <c r="FX21">
        <f t="shared" si="128"/>
        <v>1</v>
      </c>
      <c r="FY21" t="b">
        <f t="shared" ca="1" si="129"/>
        <v>0</v>
      </c>
      <c r="FZ21" t="b">
        <f t="shared" ca="1" si="130"/>
        <v>1</v>
      </c>
      <c r="GA21" t="b">
        <f t="shared" ca="1" si="131"/>
        <v>0</v>
      </c>
      <c r="GB21">
        <f t="shared" si="132"/>
        <v>0</v>
      </c>
      <c r="GC21">
        <f t="shared" si="133"/>
        <v>0</v>
      </c>
      <c r="GD21">
        <f t="shared" si="134"/>
        <v>0</v>
      </c>
      <c r="GE21">
        <f t="shared" ca="1" si="135"/>
        <v>0</v>
      </c>
      <c r="GF21">
        <f t="shared" ca="1" si="136"/>
        <v>0</v>
      </c>
      <c r="GG21">
        <f t="shared" ca="1" si="137"/>
        <v>1</v>
      </c>
      <c r="GH21" t="b">
        <f t="shared" si="138"/>
        <v>0</v>
      </c>
      <c r="GI21" s="6" t="b">
        <f t="shared" si="139"/>
        <v>0</v>
      </c>
      <c r="GJ21" t="e">
        <f>MATCH(GJ$2,Spieltage!$C$258:$C$266,0)+257</f>
        <v>#N/A</v>
      </c>
      <c r="GK21">
        <f>MATCH(GJ$2,Spieltage!$E$258:$E$266,0)+257</f>
        <v>263</v>
      </c>
      <c r="GL21">
        <f t="shared" si="140"/>
        <v>263</v>
      </c>
      <c r="GM21">
        <f ca="1">INDIRECT("Spieltage!$F"&amp;'i2'!GL21)</f>
        <v>0</v>
      </c>
      <c r="GN21" s="35" t="s">
        <v>12</v>
      </c>
      <c r="GO21" s="97">
        <f ca="1">INDIRECT("Spieltage!$H"&amp;'i2'!GL21)</f>
        <v>0</v>
      </c>
      <c r="GP21" t="str">
        <f t="shared" si="141"/>
        <v>A</v>
      </c>
      <c r="GQ21">
        <f t="shared" si="142"/>
        <v>2</v>
      </c>
      <c r="GR21">
        <f t="shared" si="143"/>
        <v>0</v>
      </c>
      <c r="GS21">
        <f t="shared" si="144"/>
        <v>0</v>
      </c>
      <c r="GT21">
        <f t="shared" si="145"/>
        <v>0</v>
      </c>
      <c r="GU21" t="b">
        <f t="shared" ca="1" si="146"/>
        <v>0</v>
      </c>
      <c r="GV21" t="b">
        <f t="shared" ca="1" si="147"/>
        <v>1</v>
      </c>
      <c r="GW21" t="b">
        <f t="shared" ca="1" si="148"/>
        <v>0</v>
      </c>
      <c r="GX21">
        <f t="shared" ca="1" si="149"/>
        <v>0</v>
      </c>
      <c r="GY21" t="b">
        <f t="shared" si="150"/>
        <v>0</v>
      </c>
      <c r="GZ21" t="b">
        <f t="shared" si="151"/>
        <v>0</v>
      </c>
      <c r="HA21">
        <f t="shared" ca="1" si="152"/>
        <v>0</v>
      </c>
      <c r="HB21" s="6">
        <f t="shared" ca="1" si="153"/>
        <v>1</v>
      </c>
      <c r="HC21">
        <f>MATCH(HC$2,Spieltage!$C$258:$C$266,0)+257</f>
        <v>263</v>
      </c>
      <c r="HD21" t="e">
        <f>MATCH(HC$2,Spieltage!$E$258:$E$266,0)+257</f>
        <v>#N/A</v>
      </c>
      <c r="HE21">
        <f t="shared" si="154"/>
        <v>263</v>
      </c>
      <c r="HF21">
        <f ca="1">INDIRECT("Spieltage!$F"&amp;'i2'!HE21)</f>
        <v>0</v>
      </c>
      <c r="HG21" s="35" t="s">
        <v>12</v>
      </c>
      <c r="HH21" s="97">
        <f ca="1">INDIRECT("Spieltage!$H"&amp;'i2'!HE21)</f>
        <v>0</v>
      </c>
      <c r="HI21" t="str">
        <f t="shared" si="155"/>
        <v>H</v>
      </c>
      <c r="HJ21">
        <f t="shared" si="156"/>
        <v>1</v>
      </c>
      <c r="HK21" t="b">
        <f t="shared" ca="1" si="157"/>
        <v>0</v>
      </c>
      <c r="HL21" t="b">
        <f t="shared" ca="1" si="158"/>
        <v>1</v>
      </c>
      <c r="HM21" t="b">
        <f t="shared" ca="1" si="159"/>
        <v>0</v>
      </c>
      <c r="HN21">
        <f t="shared" si="160"/>
        <v>0</v>
      </c>
      <c r="HO21">
        <f t="shared" si="161"/>
        <v>0</v>
      </c>
      <c r="HP21">
        <f t="shared" si="162"/>
        <v>0</v>
      </c>
      <c r="HQ21">
        <f t="shared" ca="1" si="163"/>
        <v>0</v>
      </c>
      <c r="HR21">
        <f t="shared" ca="1" si="164"/>
        <v>0</v>
      </c>
      <c r="HS21">
        <f t="shared" ca="1" si="165"/>
        <v>1</v>
      </c>
      <c r="HT21" t="b">
        <f t="shared" si="166"/>
        <v>0</v>
      </c>
      <c r="HU21" s="6" t="b">
        <f t="shared" si="167"/>
        <v>0</v>
      </c>
      <c r="HV21" t="e">
        <f>MATCH(HV$2,Spieltage!$C$258:$C$266,0)+257</f>
        <v>#N/A</v>
      </c>
      <c r="HW21">
        <f>MATCH(HV$2,Spieltage!$E$258:$E$266,0)+257</f>
        <v>264</v>
      </c>
      <c r="HX21">
        <f t="shared" si="168"/>
        <v>264</v>
      </c>
      <c r="HY21">
        <f ca="1">INDIRECT("Spieltage!$F"&amp;'i2'!HX21)</f>
        <v>0</v>
      </c>
      <c r="HZ21" s="35" t="s">
        <v>12</v>
      </c>
      <c r="IA21" s="97">
        <f ca="1">INDIRECT("Spieltage!$H"&amp;'i2'!HX21)</f>
        <v>0</v>
      </c>
      <c r="IB21" t="str">
        <f t="shared" si="169"/>
        <v>A</v>
      </c>
      <c r="IC21">
        <f t="shared" si="170"/>
        <v>2</v>
      </c>
      <c r="ID21">
        <f t="shared" si="171"/>
        <v>0</v>
      </c>
      <c r="IE21">
        <f t="shared" si="172"/>
        <v>0</v>
      </c>
      <c r="IF21">
        <f t="shared" si="173"/>
        <v>0</v>
      </c>
      <c r="IG21" t="b">
        <f t="shared" ca="1" si="174"/>
        <v>0</v>
      </c>
      <c r="IH21" t="b">
        <f t="shared" ca="1" si="175"/>
        <v>1</v>
      </c>
      <c r="II21" t="b">
        <f t="shared" ca="1" si="176"/>
        <v>0</v>
      </c>
      <c r="IJ21">
        <f t="shared" ca="1" si="177"/>
        <v>0</v>
      </c>
      <c r="IK21" t="b">
        <f t="shared" si="178"/>
        <v>0</v>
      </c>
      <c r="IL21" t="b">
        <f t="shared" si="179"/>
        <v>0</v>
      </c>
      <c r="IM21">
        <f t="shared" ca="1" si="180"/>
        <v>0</v>
      </c>
      <c r="IN21" s="6">
        <f t="shared" ca="1" si="181"/>
        <v>1</v>
      </c>
      <c r="IO21">
        <f>MATCH(IO$2,Spieltage!$C$258:$C$266,0)+257</f>
        <v>264</v>
      </c>
      <c r="IP21" t="e">
        <f>MATCH(IO$2,Spieltage!$E$258:$E$266,0)+257</f>
        <v>#N/A</v>
      </c>
      <c r="IQ21">
        <f t="shared" si="182"/>
        <v>264</v>
      </c>
      <c r="IR21">
        <f ca="1">INDIRECT("Spieltage!$F"&amp;'i2'!IQ21)</f>
        <v>0</v>
      </c>
      <c r="IS21" s="35" t="s">
        <v>12</v>
      </c>
      <c r="IT21" s="97">
        <f ca="1">INDIRECT("Spieltage!$H"&amp;'i2'!IQ21)</f>
        <v>0</v>
      </c>
      <c r="IU21" t="str">
        <f t="shared" si="183"/>
        <v>H</v>
      </c>
      <c r="IV21">
        <f t="shared" si="184"/>
        <v>1</v>
      </c>
      <c r="IW21" t="b">
        <f t="shared" ca="1" si="185"/>
        <v>0</v>
      </c>
      <c r="IX21" t="b">
        <f t="shared" ca="1" si="186"/>
        <v>1</v>
      </c>
      <c r="IY21" t="b">
        <f t="shared" ca="1" si="187"/>
        <v>0</v>
      </c>
      <c r="IZ21">
        <f t="shared" si="188"/>
        <v>0</v>
      </c>
      <c r="JA21">
        <f t="shared" si="189"/>
        <v>0</v>
      </c>
      <c r="JB21">
        <f t="shared" si="190"/>
        <v>0</v>
      </c>
      <c r="JC21">
        <f t="shared" ca="1" si="191"/>
        <v>0</v>
      </c>
      <c r="JD21">
        <f t="shared" ca="1" si="192"/>
        <v>0</v>
      </c>
      <c r="JE21">
        <f t="shared" ca="1" si="193"/>
        <v>1</v>
      </c>
      <c r="JF21" t="b">
        <f t="shared" si="194"/>
        <v>0</v>
      </c>
      <c r="JG21" s="6" t="b">
        <f t="shared" si="195"/>
        <v>0</v>
      </c>
      <c r="JH21" t="e">
        <f>MATCH(JH$2,Spieltage!$C$258:$C$266,0)+257</f>
        <v>#N/A</v>
      </c>
      <c r="JI21">
        <f>MATCH(JH$2,Spieltage!$E$258:$E$266,0)+257</f>
        <v>265</v>
      </c>
      <c r="JJ21">
        <f t="shared" si="196"/>
        <v>265</v>
      </c>
      <c r="JK21">
        <f ca="1">INDIRECT("Spieltage!$F"&amp;'i2'!JJ21)</f>
        <v>0</v>
      </c>
      <c r="JL21" s="35" t="s">
        <v>12</v>
      </c>
      <c r="JM21" s="97">
        <f ca="1">INDIRECT("Spieltage!$H"&amp;'i2'!JJ21)</f>
        <v>0</v>
      </c>
      <c r="JN21" t="str">
        <f t="shared" si="197"/>
        <v>A</v>
      </c>
      <c r="JO21">
        <f t="shared" si="198"/>
        <v>2</v>
      </c>
      <c r="JP21">
        <f t="shared" si="199"/>
        <v>0</v>
      </c>
      <c r="JQ21">
        <f t="shared" si="200"/>
        <v>0</v>
      </c>
      <c r="JR21">
        <f t="shared" si="201"/>
        <v>0</v>
      </c>
      <c r="JS21" t="b">
        <f t="shared" ca="1" si="202"/>
        <v>0</v>
      </c>
      <c r="JT21" t="b">
        <f t="shared" ca="1" si="203"/>
        <v>1</v>
      </c>
      <c r="JU21" t="b">
        <f t="shared" ca="1" si="204"/>
        <v>0</v>
      </c>
      <c r="JV21">
        <f t="shared" ca="1" si="205"/>
        <v>0</v>
      </c>
      <c r="JW21" t="b">
        <f t="shared" si="206"/>
        <v>0</v>
      </c>
      <c r="JX21" t="b">
        <f t="shared" si="207"/>
        <v>0</v>
      </c>
      <c r="JY21">
        <f t="shared" ca="1" si="208"/>
        <v>0</v>
      </c>
      <c r="JZ21" s="6">
        <f t="shared" ca="1" si="209"/>
        <v>1</v>
      </c>
      <c r="KA21">
        <f>MATCH(KA$2,Spieltage!$C$258:$C$266,0)+257</f>
        <v>265</v>
      </c>
      <c r="KB21" t="e">
        <f>MATCH(KA$2,Spieltage!$E$258:$E$266,0)+257</f>
        <v>#N/A</v>
      </c>
      <c r="KC21">
        <f t="shared" si="210"/>
        <v>265</v>
      </c>
      <c r="KD21">
        <f ca="1">INDIRECT("Spieltage!$F"&amp;'i2'!KC21)</f>
        <v>0</v>
      </c>
      <c r="KE21" s="35" t="s">
        <v>12</v>
      </c>
      <c r="KF21" s="97">
        <f ca="1">INDIRECT("Spieltage!$H"&amp;'i2'!KC21)</f>
        <v>0</v>
      </c>
      <c r="KG21" t="str">
        <f t="shared" si="211"/>
        <v>H</v>
      </c>
      <c r="KH21">
        <f t="shared" si="212"/>
        <v>1</v>
      </c>
      <c r="KI21" t="b">
        <f t="shared" ca="1" si="213"/>
        <v>0</v>
      </c>
      <c r="KJ21" t="b">
        <f t="shared" ca="1" si="214"/>
        <v>1</v>
      </c>
      <c r="KK21" t="b">
        <f t="shared" ca="1" si="215"/>
        <v>0</v>
      </c>
      <c r="KL21">
        <f t="shared" si="216"/>
        <v>0</v>
      </c>
      <c r="KM21">
        <f t="shared" si="217"/>
        <v>0</v>
      </c>
      <c r="KN21">
        <f t="shared" si="218"/>
        <v>0</v>
      </c>
      <c r="KO21">
        <f t="shared" ca="1" si="219"/>
        <v>0</v>
      </c>
      <c r="KP21">
        <f t="shared" ca="1" si="220"/>
        <v>0</v>
      </c>
      <c r="KQ21">
        <f t="shared" ca="1" si="221"/>
        <v>1</v>
      </c>
      <c r="KR21" t="b">
        <f t="shared" si="222"/>
        <v>0</v>
      </c>
      <c r="KS21" s="6" t="b">
        <f t="shared" si="223"/>
        <v>0</v>
      </c>
      <c r="KT21" t="e">
        <f>MATCH(KT$2,Spieltage!$C$258:$C$266,0)+257</f>
        <v>#N/A</v>
      </c>
      <c r="KU21">
        <f>MATCH(KT$2,Spieltage!$E$258:$E$266,0)+257</f>
        <v>266</v>
      </c>
      <c r="KV21">
        <f t="shared" si="224"/>
        <v>266</v>
      </c>
      <c r="KW21">
        <f ca="1">INDIRECT("Spieltage!$F"&amp;'i2'!KV21)</f>
        <v>0</v>
      </c>
      <c r="KX21" s="35" t="s">
        <v>12</v>
      </c>
      <c r="KY21" s="97">
        <f ca="1">INDIRECT("Spieltage!$H"&amp;'i2'!KV21)</f>
        <v>0</v>
      </c>
      <c r="KZ21" t="str">
        <f t="shared" si="225"/>
        <v>A</v>
      </c>
      <c r="LA21">
        <f t="shared" si="226"/>
        <v>2</v>
      </c>
      <c r="LB21">
        <f t="shared" si="227"/>
        <v>0</v>
      </c>
      <c r="LC21">
        <f t="shared" si="228"/>
        <v>0</v>
      </c>
      <c r="LD21">
        <f t="shared" si="229"/>
        <v>0</v>
      </c>
      <c r="LE21" t="b">
        <f t="shared" ca="1" si="230"/>
        <v>0</v>
      </c>
      <c r="LF21" t="b">
        <f t="shared" ca="1" si="231"/>
        <v>1</v>
      </c>
      <c r="LG21" t="b">
        <f t="shared" ca="1" si="232"/>
        <v>0</v>
      </c>
      <c r="LH21">
        <f t="shared" ca="1" si="233"/>
        <v>0</v>
      </c>
      <c r="LI21" t="b">
        <f t="shared" si="234"/>
        <v>0</v>
      </c>
      <c r="LJ21" t="b">
        <f t="shared" si="235"/>
        <v>0</v>
      </c>
      <c r="LK21">
        <f t="shared" ca="1" si="236"/>
        <v>0</v>
      </c>
      <c r="LL21" s="6">
        <f t="shared" ca="1" si="237"/>
        <v>1</v>
      </c>
      <c r="LM21">
        <f>MATCH(LM$2,Spieltage!$C$258:$C$266,0)+257</f>
        <v>266</v>
      </c>
      <c r="LN21" t="e">
        <f>MATCH(LM$2,Spieltage!$E$258:$E$266,0)+257</f>
        <v>#N/A</v>
      </c>
      <c r="LO21">
        <f t="shared" si="238"/>
        <v>266</v>
      </c>
      <c r="LP21">
        <f ca="1">INDIRECT("Spieltage!$F"&amp;'i2'!LO21)</f>
        <v>0</v>
      </c>
      <c r="LQ21" s="35" t="s">
        <v>12</v>
      </c>
      <c r="LR21" s="97">
        <f ca="1">INDIRECT("Spieltage!$H"&amp;'i2'!LO21)</f>
        <v>0</v>
      </c>
      <c r="LS21" t="str">
        <f t="shared" si="239"/>
        <v>H</v>
      </c>
      <c r="LT21">
        <f t="shared" si="240"/>
        <v>1</v>
      </c>
      <c r="LU21" t="b">
        <f t="shared" ca="1" si="241"/>
        <v>0</v>
      </c>
      <c r="LV21" t="b">
        <f t="shared" ca="1" si="242"/>
        <v>1</v>
      </c>
      <c r="LW21" t="b">
        <f t="shared" ca="1" si="243"/>
        <v>0</v>
      </c>
      <c r="LX21">
        <f t="shared" si="244"/>
        <v>0</v>
      </c>
      <c r="LY21">
        <f t="shared" si="245"/>
        <v>0</v>
      </c>
      <c r="LZ21">
        <f t="shared" si="246"/>
        <v>0</v>
      </c>
      <c r="MA21">
        <f t="shared" ca="1" si="247"/>
        <v>0</v>
      </c>
      <c r="MB21">
        <f t="shared" ca="1" si="248"/>
        <v>0</v>
      </c>
      <c r="MC21">
        <f t="shared" ca="1" si="249"/>
        <v>1</v>
      </c>
      <c r="MD21" t="b">
        <f t="shared" si="250"/>
        <v>0</v>
      </c>
      <c r="ME21" s="6" t="b">
        <f t="shared" si="251"/>
        <v>0</v>
      </c>
    </row>
    <row r="22" spans="1:343" x14ac:dyDescent="0.2">
      <c r="A22" s="104" t="s">
        <v>230</v>
      </c>
      <c r="B22">
        <f>MATCH(B$2,Spieltage!$C$273:$C$281,0)+272</f>
        <v>278</v>
      </c>
      <c r="C22" t="e">
        <f>MATCH(B$2,Spieltage!$E$273:$E$281,0)+272</f>
        <v>#N/A</v>
      </c>
      <c r="D22">
        <f t="shared" si="0"/>
        <v>278</v>
      </c>
      <c r="E22">
        <f ca="1">INDIRECT("Spieltage!$F"&amp;'i2'!D22)</f>
        <v>0</v>
      </c>
      <c r="F22" s="35" t="s">
        <v>12</v>
      </c>
      <c r="G22" s="97">
        <f ca="1">INDIRECT("Spieltage!$H"&amp;'i2'!D22)</f>
        <v>0</v>
      </c>
      <c r="H22" t="str">
        <f t="shared" si="1"/>
        <v>H</v>
      </c>
      <c r="I22">
        <f t="shared" si="2"/>
        <v>1</v>
      </c>
      <c r="J22" t="b">
        <f t="shared" ca="1" si="3"/>
        <v>0</v>
      </c>
      <c r="K22" t="b">
        <f t="shared" ca="1" si="4"/>
        <v>1</v>
      </c>
      <c r="L22" t="b">
        <f t="shared" ca="1" si="5"/>
        <v>0</v>
      </c>
      <c r="M22">
        <f t="shared" si="6"/>
        <v>0</v>
      </c>
      <c r="N22">
        <f t="shared" si="7"/>
        <v>0</v>
      </c>
      <c r="O22">
        <f t="shared" si="8"/>
        <v>0</v>
      </c>
      <c r="P22">
        <f t="shared" ca="1" si="9"/>
        <v>0</v>
      </c>
      <c r="Q22">
        <f t="shared" ca="1" si="10"/>
        <v>0</v>
      </c>
      <c r="R22">
        <f t="shared" ca="1" si="11"/>
        <v>1</v>
      </c>
      <c r="S22" t="b">
        <f t="shared" si="12"/>
        <v>0</v>
      </c>
      <c r="T22" s="6" t="b">
        <f t="shared" si="13"/>
        <v>0</v>
      </c>
      <c r="U22" t="e">
        <f>MATCH(U$2,Spieltage!$C$273:$C$281,0)+272</f>
        <v>#N/A</v>
      </c>
      <c r="V22">
        <f>MATCH(U$2,Spieltage!$E$273:$E$281,0)+272</f>
        <v>274</v>
      </c>
      <c r="W22">
        <f t="shared" si="14"/>
        <v>274</v>
      </c>
      <c r="X22">
        <f ca="1">INDIRECT("Spieltage!$F"&amp;'i2'!W22)</f>
        <v>0</v>
      </c>
      <c r="Y22" s="35" t="s">
        <v>12</v>
      </c>
      <c r="Z22" s="97">
        <f ca="1">INDIRECT("Spieltage!$H"&amp;'i2'!W22)</f>
        <v>0</v>
      </c>
      <c r="AA22" t="str">
        <f t="shared" si="15"/>
        <v>A</v>
      </c>
      <c r="AB22">
        <f t="shared" si="16"/>
        <v>2</v>
      </c>
      <c r="AC22">
        <f t="shared" si="17"/>
        <v>0</v>
      </c>
      <c r="AD22">
        <f t="shared" si="18"/>
        <v>0</v>
      </c>
      <c r="AE22">
        <f t="shared" si="19"/>
        <v>0</v>
      </c>
      <c r="AF22" t="b">
        <f t="shared" ca="1" si="20"/>
        <v>0</v>
      </c>
      <c r="AG22" t="b">
        <f t="shared" ca="1" si="21"/>
        <v>1</v>
      </c>
      <c r="AH22" t="b">
        <f t="shared" ca="1" si="22"/>
        <v>0</v>
      </c>
      <c r="AI22">
        <f t="shared" ca="1" si="23"/>
        <v>0</v>
      </c>
      <c r="AJ22" t="b">
        <f t="shared" si="24"/>
        <v>0</v>
      </c>
      <c r="AK22" t="b">
        <f t="shared" si="25"/>
        <v>0</v>
      </c>
      <c r="AL22">
        <f t="shared" ca="1" si="26"/>
        <v>0</v>
      </c>
      <c r="AM22" s="6">
        <f t="shared" ca="1" si="27"/>
        <v>1</v>
      </c>
      <c r="AN22">
        <f>MATCH(AN$2,Spieltage!$C$273:$C$281,0)+272</f>
        <v>275</v>
      </c>
      <c r="AO22" t="e">
        <f>MATCH(AN$2,Spieltage!$E$273:$E$281,0)+272</f>
        <v>#N/A</v>
      </c>
      <c r="AP22">
        <f t="shared" si="28"/>
        <v>275</v>
      </c>
      <c r="AQ22">
        <f ca="1">INDIRECT("Spieltage!$F"&amp;'i2'!AP22)</f>
        <v>0</v>
      </c>
      <c r="AR22" s="35" t="s">
        <v>12</v>
      </c>
      <c r="AS22" s="97">
        <f ca="1">INDIRECT("Spieltage!$H"&amp;'i2'!AP22)</f>
        <v>0</v>
      </c>
      <c r="AT22" t="str">
        <f t="shared" si="29"/>
        <v>H</v>
      </c>
      <c r="AU22">
        <f t="shared" si="30"/>
        <v>1</v>
      </c>
      <c r="AV22" t="b">
        <f t="shared" ca="1" si="31"/>
        <v>0</v>
      </c>
      <c r="AW22" t="b">
        <f t="shared" ca="1" si="32"/>
        <v>1</v>
      </c>
      <c r="AX22" t="b">
        <f t="shared" ca="1" si="33"/>
        <v>0</v>
      </c>
      <c r="AY22">
        <f t="shared" si="34"/>
        <v>0</v>
      </c>
      <c r="AZ22">
        <f t="shared" si="35"/>
        <v>0</v>
      </c>
      <c r="BA22">
        <f t="shared" si="36"/>
        <v>0</v>
      </c>
      <c r="BB22">
        <f t="shared" ca="1" si="37"/>
        <v>0</v>
      </c>
      <c r="BC22">
        <f t="shared" ca="1" si="38"/>
        <v>0</v>
      </c>
      <c r="BD22">
        <f t="shared" ca="1" si="39"/>
        <v>1</v>
      </c>
      <c r="BE22" t="b">
        <f t="shared" si="40"/>
        <v>0</v>
      </c>
      <c r="BF22" s="6" t="b">
        <f t="shared" si="41"/>
        <v>0</v>
      </c>
      <c r="BG22" t="e">
        <f>MATCH(BG$2,Spieltage!$C$273:$C$281,0)+272</f>
        <v>#N/A</v>
      </c>
      <c r="BH22">
        <f>MATCH(BG$2,Spieltage!$E$273:$E$281,0)+272</f>
        <v>279</v>
      </c>
      <c r="BI22">
        <f t="shared" si="42"/>
        <v>279</v>
      </c>
      <c r="BJ22">
        <f ca="1">INDIRECT("Spieltage!$F"&amp;'i2'!BI22)</f>
        <v>0</v>
      </c>
      <c r="BK22" s="35" t="s">
        <v>12</v>
      </c>
      <c r="BL22" s="97">
        <f ca="1">INDIRECT("Spieltage!$H"&amp;'i2'!BI22)</f>
        <v>0</v>
      </c>
      <c r="BM22" t="str">
        <f t="shared" si="43"/>
        <v>A</v>
      </c>
      <c r="BN22">
        <f t="shared" si="44"/>
        <v>2</v>
      </c>
      <c r="BO22">
        <f t="shared" si="45"/>
        <v>0</v>
      </c>
      <c r="BP22">
        <f t="shared" si="46"/>
        <v>0</v>
      </c>
      <c r="BQ22">
        <f t="shared" si="47"/>
        <v>0</v>
      </c>
      <c r="BR22" t="b">
        <f t="shared" ca="1" si="48"/>
        <v>0</v>
      </c>
      <c r="BS22" t="b">
        <f t="shared" ca="1" si="49"/>
        <v>1</v>
      </c>
      <c r="BT22" t="b">
        <f t="shared" ca="1" si="50"/>
        <v>0</v>
      </c>
      <c r="BU22">
        <f t="shared" ca="1" si="51"/>
        <v>0</v>
      </c>
      <c r="BV22" t="b">
        <f t="shared" si="52"/>
        <v>0</v>
      </c>
      <c r="BW22" t="b">
        <f t="shared" si="53"/>
        <v>0</v>
      </c>
      <c r="BX22">
        <f t="shared" ca="1" si="54"/>
        <v>0</v>
      </c>
      <c r="BY22" s="6">
        <f t="shared" ca="1" si="55"/>
        <v>1</v>
      </c>
      <c r="BZ22">
        <f>MATCH(BZ$2,Spieltage!$C$273:$C$281,0)+272</f>
        <v>279</v>
      </c>
      <c r="CA22" t="e">
        <f>MATCH(BZ$2,Spieltage!$E$273:$E$281,0)+272</f>
        <v>#N/A</v>
      </c>
      <c r="CB22">
        <f t="shared" si="56"/>
        <v>279</v>
      </c>
      <c r="CC22">
        <f ca="1">INDIRECT("Spieltage!$F"&amp;'i2'!CB22)</f>
        <v>0</v>
      </c>
      <c r="CD22" s="35" t="s">
        <v>12</v>
      </c>
      <c r="CE22" s="97">
        <f ca="1">INDIRECT("Spieltage!$H"&amp;'i2'!CB22)</f>
        <v>0</v>
      </c>
      <c r="CF22" t="str">
        <f t="shared" si="57"/>
        <v>H</v>
      </c>
      <c r="CG22">
        <f t="shared" si="58"/>
        <v>1</v>
      </c>
      <c r="CH22" t="b">
        <f t="shared" ca="1" si="59"/>
        <v>0</v>
      </c>
      <c r="CI22" t="b">
        <f t="shared" ca="1" si="60"/>
        <v>1</v>
      </c>
      <c r="CJ22" t="b">
        <f t="shared" ca="1" si="61"/>
        <v>0</v>
      </c>
      <c r="CK22">
        <f t="shared" si="62"/>
        <v>0</v>
      </c>
      <c r="CL22">
        <f t="shared" si="63"/>
        <v>0</v>
      </c>
      <c r="CM22">
        <f t="shared" si="64"/>
        <v>0</v>
      </c>
      <c r="CN22">
        <f t="shared" ca="1" si="65"/>
        <v>0</v>
      </c>
      <c r="CO22">
        <f t="shared" ca="1" si="66"/>
        <v>0</v>
      </c>
      <c r="CP22">
        <f t="shared" ca="1" si="67"/>
        <v>1</v>
      </c>
      <c r="CQ22" t="b">
        <f t="shared" si="68"/>
        <v>0</v>
      </c>
      <c r="CR22" s="6" t="b">
        <f t="shared" si="69"/>
        <v>0</v>
      </c>
      <c r="CS22" t="e">
        <f>MATCH(CS$2,Spieltage!$C$273:$C$281,0)+272</f>
        <v>#N/A</v>
      </c>
      <c r="CT22">
        <f>MATCH(CS$2,Spieltage!$E$273:$E$281,0)+272</f>
        <v>275</v>
      </c>
      <c r="CU22">
        <f t="shared" si="70"/>
        <v>275</v>
      </c>
      <c r="CV22">
        <f ca="1">INDIRECT("Spieltage!$F"&amp;'i2'!CU22)</f>
        <v>0</v>
      </c>
      <c r="CW22" s="35" t="s">
        <v>12</v>
      </c>
      <c r="CX22" s="97">
        <f ca="1">INDIRECT("Spieltage!$H"&amp;'i2'!CU22)</f>
        <v>0</v>
      </c>
      <c r="CY22" t="str">
        <f t="shared" si="71"/>
        <v>A</v>
      </c>
      <c r="CZ22">
        <f t="shared" si="72"/>
        <v>2</v>
      </c>
      <c r="DA22">
        <f t="shared" si="73"/>
        <v>0</v>
      </c>
      <c r="DB22">
        <f t="shared" si="74"/>
        <v>0</v>
      </c>
      <c r="DC22">
        <f t="shared" si="75"/>
        <v>0</v>
      </c>
      <c r="DD22" t="b">
        <f t="shared" ca="1" si="76"/>
        <v>0</v>
      </c>
      <c r="DE22" t="b">
        <f t="shared" ca="1" si="77"/>
        <v>1</v>
      </c>
      <c r="DF22" t="b">
        <f t="shared" ca="1" si="78"/>
        <v>0</v>
      </c>
      <c r="DG22">
        <f t="shared" ca="1" si="79"/>
        <v>0</v>
      </c>
      <c r="DH22" t="b">
        <f t="shared" si="80"/>
        <v>0</v>
      </c>
      <c r="DI22" t="b">
        <f t="shared" si="81"/>
        <v>0</v>
      </c>
      <c r="DJ22">
        <f t="shared" ca="1" si="82"/>
        <v>0</v>
      </c>
      <c r="DK22" s="6">
        <f t="shared" ca="1" si="83"/>
        <v>1</v>
      </c>
      <c r="DL22">
        <f>MATCH(DL$2,Spieltage!$C$273:$C$281,0)+272</f>
        <v>280</v>
      </c>
      <c r="DM22" t="e">
        <f>MATCH(DL$2,Spieltage!$E$273:$E$281,0)+272</f>
        <v>#N/A</v>
      </c>
      <c r="DN22">
        <f t="shared" si="84"/>
        <v>280</v>
      </c>
      <c r="DO22">
        <f ca="1">INDIRECT("Spieltage!$F"&amp;'i2'!DN22)</f>
        <v>0</v>
      </c>
      <c r="DP22" s="35" t="s">
        <v>12</v>
      </c>
      <c r="DQ22" s="97">
        <f ca="1">INDIRECT("Spieltage!$H"&amp;'i2'!DN22)</f>
        <v>0</v>
      </c>
      <c r="DR22" t="str">
        <f t="shared" si="85"/>
        <v>H</v>
      </c>
      <c r="DS22">
        <f t="shared" si="86"/>
        <v>1</v>
      </c>
      <c r="DT22" t="b">
        <f t="shared" ca="1" si="87"/>
        <v>0</v>
      </c>
      <c r="DU22" t="b">
        <f t="shared" ca="1" si="88"/>
        <v>1</v>
      </c>
      <c r="DV22" t="b">
        <f t="shared" ca="1" si="89"/>
        <v>0</v>
      </c>
      <c r="DW22">
        <f t="shared" si="90"/>
        <v>0</v>
      </c>
      <c r="DX22">
        <f t="shared" si="91"/>
        <v>0</v>
      </c>
      <c r="DY22">
        <f t="shared" si="92"/>
        <v>0</v>
      </c>
      <c r="DZ22">
        <f t="shared" ca="1" si="93"/>
        <v>0</v>
      </c>
      <c r="EA22">
        <f t="shared" ca="1" si="94"/>
        <v>0</v>
      </c>
      <c r="EB22">
        <f t="shared" ca="1" si="95"/>
        <v>1</v>
      </c>
      <c r="EC22" t="b">
        <f t="shared" si="96"/>
        <v>0</v>
      </c>
      <c r="ED22" s="6" t="b">
        <f t="shared" si="97"/>
        <v>0</v>
      </c>
      <c r="EE22" t="e">
        <f>MATCH(EE$2,Spieltage!$C$273:$C$281,0)+272</f>
        <v>#N/A</v>
      </c>
      <c r="EF22">
        <f>MATCH(EE$2,Spieltage!$E$273:$E$281,0)+272</f>
        <v>278</v>
      </c>
      <c r="EG22">
        <f t="shared" si="98"/>
        <v>278</v>
      </c>
      <c r="EH22">
        <f ca="1">INDIRECT("Spieltage!$F"&amp;'i2'!EG22)</f>
        <v>0</v>
      </c>
      <c r="EI22" s="35" t="s">
        <v>12</v>
      </c>
      <c r="EJ22" s="97">
        <f ca="1">INDIRECT("Spieltage!$H"&amp;'i2'!EG22)</f>
        <v>0</v>
      </c>
      <c r="EK22" t="str">
        <f t="shared" si="99"/>
        <v>A</v>
      </c>
      <c r="EL22">
        <f t="shared" si="100"/>
        <v>2</v>
      </c>
      <c r="EM22">
        <f t="shared" si="101"/>
        <v>0</v>
      </c>
      <c r="EN22">
        <f t="shared" si="102"/>
        <v>0</v>
      </c>
      <c r="EO22">
        <f t="shared" si="103"/>
        <v>0</v>
      </c>
      <c r="EP22" t="b">
        <f t="shared" ca="1" si="104"/>
        <v>0</v>
      </c>
      <c r="EQ22" t="b">
        <f t="shared" ca="1" si="105"/>
        <v>1</v>
      </c>
      <c r="ER22" t="b">
        <f t="shared" ca="1" si="106"/>
        <v>0</v>
      </c>
      <c r="ES22">
        <f t="shared" ca="1" si="107"/>
        <v>0</v>
      </c>
      <c r="ET22" t="b">
        <f t="shared" si="108"/>
        <v>0</v>
      </c>
      <c r="EU22" t="b">
        <f t="shared" si="109"/>
        <v>0</v>
      </c>
      <c r="EV22">
        <f t="shared" ca="1" si="110"/>
        <v>0</v>
      </c>
      <c r="EW22" s="6">
        <f t="shared" ca="1" si="111"/>
        <v>1</v>
      </c>
      <c r="EX22">
        <f>MATCH(EX$2,Spieltage!$C$273:$C$281,0)+272</f>
        <v>277</v>
      </c>
      <c r="EY22" t="e">
        <f>MATCH(EX$2,Spieltage!$E$273:$E$281,0)+272</f>
        <v>#N/A</v>
      </c>
      <c r="EZ22">
        <f t="shared" si="112"/>
        <v>277</v>
      </c>
      <c r="FA22">
        <f ca="1">INDIRECT("Spieltage!$F"&amp;'i2'!EZ22)</f>
        <v>0</v>
      </c>
      <c r="FB22" s="35" t="s">
        <v>12</v>
      </c>
      <c r="FC22" s="97">
        <f ca="1">INDIRECT("Spieltage!$H"&amp;'i2'!EZ22)</f>
        <v>0</v>
      </c>
      <c r="FD22" t="str">
        <f t="shared" si="113"/>
        <v>H</v>
      </c>
      <c r="FE22">
        <f t="shared" si="114"/>
        <v>1</v>
      </c>
      <c r="FF22" t="b">
        <f t="shared" ca="1" si="115"/>
        <v>0</v>
      </c>
      <c r="FG22" t="b">
        <f t="shared" ca="1" si="116"/>
        <v>1</v>
      </c>
      <c r="FH22" t="b">
        <f t="shared" ca="1" si="117"/>
        <v>0</v>
      </c>
      <c r="FI22">
        <f t="shared" si="118"/>
        <v>0</v>
      </c>
      <c r="FJ22">
        <f t="shared" si="119"/>
        <v>0</v>
      </c>
      <c r="FK22">
        <f t="shared" si="120"/>
        <v>0</v>
      </c>
      <c r="FL22">
        <f t="shared" ca="1" si="121"/>
        <v>0</v>
      </c>
      <c r="FM22">
        <f t="shared" ca="1" si="122"/>
        <v>0</v>
      </c>
      <c r="FN22">
        <f t="shared" ca="1" si="123"/>
        <v>1</v>
      </c>
      <c r="FO22" t="b">
        <f t="shared" si="124"/>
        <v>0</v>
      </c>
      <c r="FP22" s="6" t="b">
        <f t="shared" si="125"/>
        <v>0</v>
      </c>
      <c r="FQ22" t="e">
        <f>MATCH(FQ$2,Spieltage!$C$273:$C$281,0)+272</f>
        <v>#N/A</v>
      </c>
      <c r="FR22">
        <f>MATCH(FQ$2,Spieltage!$E$273:$E$281,0)+272</f>
        <v>280</v>
      </c>
      <c r="FS22">
        <f t="shared" si="126"/>
        <v>280</v>
      </c>
      <c r="FT22">
        <f ca="1">INDIRECT("Spieltage!$F"&amp;'i2'!FS22)</f>
        <v>0</v>
      </c>
      <c r="FU22" s="35" t="s">
        <v>12</v>
      </c>
      <c r="FV22" s="97">
        <f ca="1">INDIRECT("Spieltage!$H"&amp;'i2'!FS22)</f>
        <v>0</v>
      </c>
      <c r="FW22" t="str">
        <f t="shared" si="127"/>
        <v>A</v>
      </c>
      <c r="FX22">
        <f t="shared" si="128"/>
        <v>2</v>
      </c>
      <c r="FY22">
        <f t="shared" si="129"/>
        <v>0</v>
      </c>
      <c r="FZ22">
        <f t="shared" si="130"/>
        <v>0</v>
      </c>
      <c r="GA22">
        <f t="shared" si="131"/>
        <v>0</v>
      </c>
      <c r="GB22" t="b">
        <f t="shared" ca="1" si="132"/>
        <v>0</v>
      </c>
      <c r="GC22" t="b">
        <f t="shared" ca="1" si="133"/>
        <v>1</v>
      </c>
      <c r="GD22" t="b">
        <f t="shared" ca="1" si="134"/>
        <v>0</v>
      </c>
      <c r="GE22">
        <f t="shared" ca="1" si="135"/>
        <v>0</v>
      </c>
      <c r="GF22" t="b">
        <f t="shared" si="136"/>
        <v>0</v>
      </c>
      <c r="GG22" t="b">
        <f t="shared" si="137"/>
        <v>0</v>
      </c>
      <c r="GH22">
        <f t="shared" ca="1" si="138"/>
        <v>0</v>
      </c>
      <c r="GI22" s="6">
        <f t="shared" ca="1" si="139"/>
        <v>1</v>
      </c>
      <c r="GJ22">
        <f>MATCH(GJ$2,Spieltage!$C$273:$C$281,0)+272</f>
        <v>276</v>
      </c>
      <c r="GK22" t="e">
        <f>MATCH(GJ$2,Spieltage!$E$273:$E$281,0)+272</f>
        <v>#N/A</v>
      </c>
      <c r="GL22">
        <f t="shared" si="140"/>
        <v>276</v>
      </c>
      <c r="GM22">
        <f ca="1">INDIRECT("Spieltage!$F"&amp;'i2'!GL22)</f>
        <v>0</v>
      </c>
      <c r="GN22" s="35" t="s">
        <v>12</v>
      </c>
      <c r="GO22" s="97">
        <f ca="1">INDIRECT("Spieltage!$H"&amp;'i2'!GL22)</f>
        <v>0</v>
      </c>
      <c r="GP22" t="str">
        <f t="shared" si="141"/>
        <v>H</v>
      </c>
      <c r="GQ22">
        <f t="shared" si="142"/>
        <v>1</v>
      </c>
      <c r="GR22" t="b">
        <f t="shared" ca="1" si="143"/>
        <v>0</v>
      </c>
      <c r="GS22" t="b">
        <f t="shared" ca="1" si="144"/>
        <v>1</v>
      </c>
      <c r="GT22" t="b">
        <f t="shared" ca="1" si="145"/>
        <v>0</v>
      </c>
      <c r="GU22">
        <f t="shared" si="146"/>
        <v>0</v>
      </c>
      <c r="GV22">
        <f t="shared" si="147"/>
        <v>0</v>
      </c>
      <c r="GW22">
        <f t="shared" si="148"/>
        <v>0</v>
      </c>
      <c r="GX22">
        <f t="shared" ca="1" si="149"/>
        <v>0</v>
      </c>
      <c r="GY22">
        <f t="shared" ca="1" si="150"/>
        <v>0</v>
      </c>
      <c r="GZ22">
        <f t="shared" ca="1" si="151"/>
        <v>1</v>
      </c>
      <c r="HA22" t="b">
        <f t="shared" si="152"/>
        <v>0</v>
      </c>
      <c r="HB22" s="6" t="b">
        <f t="shared" si="153"/>
        <v>0</v>
      </c>
      <c r="HC22" t="e">
        <f>MATCH(HC$2,Spieltage!$C$273:$C$281,0)+272</f>
        <v>#N/A</v>
      </c>
      <c r="HD22">
        <f>MATCH(HC$2,Spieltage!$E$273:$E$281,0)+272</f>
        <v>281</v>
      </c>
      <c r="HE22">
        <f t="shared" si="154"/>
        <v>281</v>
      </c>
      <c r="HF22">
        <f ca="1">INDIRECT("Spieltage!$F"&amp;'i2'!HE22)</f>
        <v>0</v>
      </c>
      <c r="HG22" s="35" t="s">
        <v>12</v>
      </c>
      <c r="HH22" s="97">
        <f ca="1">INDIRECT("Spieltage!$H"&amp;'i2'!HE22)</f>
        <v>0</v>
      </c>
      <c r="HI22" t="str">
        <f t="shared" si="155"/>
        <v>A</v>
      </c>
      <c r="HJ22">
        <f t="shared" si="156"/>
        <v>2</v>
      </c>
      <c r="HK22">
        <f t="shared" si="157"/>
        <v>0</v>
      </c>
      <c r="HL22">
        <f t="shared" si="158"/>
        <v>0</v>
      </c>
      <c r="HM22">
        <f t="shared" si="159"/>
        <v>0</v>
      </c>
      <c r="HN22" t="b">
        <f t="shared" ca="1" si="160"/>
        <v>0</v>
      </c>
      <c r="HO22" t="b">
        <f t="shared" ca="1" si="161"/>
        <v>1</v>
      </c>
      <c r="HP22" t="b">
        <f t="shared" ca="1" si="162"/>
        <v>0</v>
      </c>
      <c r="HQ22">
        <f t="shared" ca="1" si="163"/>
        <v>0</v>
      </c>
      <c r="HR22" t="b">
        <f t="shared" si="164"/>
        <v>0</v>
      </c>
      <c r="HS22" t="b">
        <f t="shared" si="165"/>
        <v>0</v>
      </c>
      <c r="HT22">
        <f t="shared" ca="1" si="166"/>
        <v>0</v>
      </c>
      <c r="HU22" s="6">
        <f t="shared" ca="1" si="167"/>
        <v>1</v>
      </c>
      <c r="HV22">
        <f>MATCH(HV$2,Spieltage!$C$273:$C$281,0)+272</f>
        <v>273</v>
      </c>
      <c r="HW22" t="e">
        <f>MATCH(HV$2,Spieltage!$E$273:$E$281,0)+272</f>
        <v>#N/A</v>
      </c>
      <c r="HX22">
        <f t="shared" si="168"/>
        <v>273</v>
      </c>
      <c r="HY22">
        <f ca="1">INDIRECT("Spieltage!$F"&amp;'i2'!HX22)</f>
        <v>0</v>
      </c>
      <c r="HZ22" s="35" t="s">
        <v>12</v>
      </c>
      <c r="IA22" s="97">
        <f ca="1">INDIRECT("Spieltage!$H"&amp;'i2'!HX22)</f>
        <v>0</v>
      </c>
      <c r="IB22" t="str">
        <f t="shared" si="169"/>
        <v>H</v>
      </c>
      <c r="IC22">
        <f t="shared" si="170"/>
        <v>1</v>
      </c>
      <c r="ID22" t="b">
        <f t="shared" ca="1" si="171"/>
        <v>0</v>
      </c>
      <c r="IE22" t="b">
        <f t="shared" ca="1" si="172"/>
        <v>1</v>
      </c>
      <c r="IF22" t="b">
        <f t="shared" ca="1" si="173"/>
        <v>0</v>
      </c>
      <c r="IG22">
        <f t="shared" si="174"/>
        <v>0</v>
      </c>
      <c r="IH22">
        <f t="shared" si="175"/>
        <v>0</v>
      </c>
      <c r="II22">
        <f t="shared" si="176"/>
        <v>0</v>
      </c>
      <c r="IJ22">
        <f t="shared" ca="1" si="177"/>
        <v>0</v>
      </c>
      <c r="IK22">
        <f t="shared" ca="1" si="178"/>
        <v>0</v>
      </c>
      <c r="IL22">
        <f t="shared" ca="1" si="179"/>
        <v>1</v>
      </c>
      <c r="IM22" t="b">
        <f t="shared" si="180"/>
        <v>0</v>
      </c>
      <c r="IN22" s="6" t="b">
        <f t="shared" si="181"/>
        <v>0</v>
      </c>
      <c r="IO22" t="e">
        <f>MATCH(IO$2,Spieltage!$C$273:$C$281,0)+272</f>
        <v>#N/A</v>
      </c>
      <c r="IP22">
        <f>MATCH(IO$2,Spieltage!$E$273:$E$281,0)+272</f>
        <v>276</v>
      </c>
      <c r="IQ22">
        <f t="shared" si="182"/>
        <v>276</v>
      </c>
      <c r="IR22">
        <f ca="1">INDIRECT("Spieltage!$F"&amp;'i2'!IQ22)</f>
        <v>0</v>
      </c>
      <c r="IS22" s="35" t="s">
        <v>12</v>
      </c>
      <c r="IT22" s="97">
        <f ca="1">INDIRECT("Spieltage!$H"&amp;'i2'!IQ22)</f>
        <v>0</v>
      </c>
      <c r="IU22" t="str">
        <f t="shared" si="183"/>
        <v>A</v>
      </c>
      <c r="IV22">
        <f t="shared" si="184"/>
        <v>2</v>
      </c>
      <c r="IW22">
        <f t="shared" si="185"/>
        <v>0</v>
      </c>
      <c r="IX22">
        <f t="shared" si="186"/>
        <v>0</v>
      </c>
      <c r="IY22">
        <f t="shared" si="187"/>
        <v>0</v>
      </c>
      <c r="IZ22" t="b">
        <f t="shared" ca="1" si="188"/>
        <v>0</v>
      </c>
      <c r="JA22" t="b">
        <f t="shared" ca="1" si="189"/>
        <v>1</v>
      </c>
      <c r="JB22" t="b">
        <f t="shared" ca="1" si="190"/>
        <v>0</v>
      </c>
      <c r="JC22">
        <f t="shared" ca="1" si="191"/>
        <v>0</v>
      </c>
      <c r="JD22" t="b">
        <f t="shared" si="192"/>
        <v>0</v>
      </c>
      <c r="JE22" t="b">
        <f t="shared" si="193"/>
        <v>0</v>
      </c>
      <c r="JF22">
        <f t="shared" ca="1" si="194"/>
        <v>0</v>
      </c>
      <c r="JG22" s="6">
        <f t="shared" ca="1" si="195"/>
        <v>1</v>
      </c>
      <c r="JH22">
        <f>MATCH(JH$2,Spieltage!$C$273:$C$281,0)+272</f>
        <v>281</v>
      </c>
      <c r="JI22" t="e">
        <f>MATCH(JH$2,Spieltage!$E$273:$E$281,0)+272</f>
        <v>#N/A</v>
      </c>
      <c r="JJ22">
        <f t="shared" si="196"/>
        <v>281</v>
      </c>
      <c r="JK22">
        <f ca="1">INDIRECT("Spieltage!$F"&amp;'i2'!JJ22)</f>
        <v>0</v>
      </c>
      <c r="JL22" s="35" t="s">
        <v>12</v>
      </c>
      <c r="JM22" s="97">
        <f ca="1">INDIRECT("Spieltage!$H"&amp;'i2'!JJ22)</f>
        <v>0</v>
      </c>
      <c r="JN22" t="str">
        <f t="shared" si="197"/>
        <v>H</v>
      </c>
      <c r="JO22">
        <f t="shared" si="198"/>
        <v>1</v>
      </c>
      <c r="JP22" t="b">
        <f t="shared" ca="1" si="199"/>
        <v>0</v>
      </c>
      <c r="JQ22" t="b">
        <f t="shared" ca="1" si="200"/>
        <v>1</v>
      </c>
      <c r="JR22" t="b">
        <f t="shared" ca="1" si="201"/>
        <v>0</v>
      </c>
      <c r="JS22">
        <f t="shared" si="202"/>
        <v>0</v>
      </c>
      <c r="JT22">
        <f t="shared" si="203"/>
        <v>0</v>
      </c>
      <c r="JU22">
        <f t="shared" si="204"/>
        <v>0</v>
      </c>
      <c r="JV22">
        <f t="shared" ca="1" si="205"/>
        <v>0</v>
      </c>
      <c r="JW22">
        <f t="shared" ca="1" si="206"/>
        <v>0</v>
      </c>
      <c r="JX22">
        <f t="shared" ca="1" si="207"/>
        <v>1</v>
      </c>
      <c r="JY22" t="b">
        <f t="shared" si="208"/>
        <v>0</v>
      </c>
      <c r="JZ22" s="6" t="b">
        <f t="shared" si="209"/>
        <v>0</v>
      </c>
      <c r="KA22" t="e">
        <f>MATCH(KA$2,Spieltage!$C$273:$C$281,0)+272</f>
        <v>#N/A</v>
      </c>
      <c r="KB22">
        <f>MATCH(KA$2,Spieltage!$E$273:$E$281,0)+272</f>
        <v>273</v>
      </c>
      <c r="KC22">
        <f t="shared" si="210"/>
        <v>273</v>
      </c>
      <c r="KD22">
        <f ca="1">INDIRECT("Spieltage!$F"&amp;'i2'!KC22)</f>
        <v>0</v>
      </c>
      <c r="KE22" s="35" t="s">
        <v>12</v>
      </c>
      <c r="KF22" s="97">
        <f ca="1">INDIRECT("Spieltage!$H"&amp;'i2'!KC22)</f>
        <v>0</v>
      </c>
      <c r="KG22" t="str">
        <f t="shared" si="211"/>
        <v>A</v>
      </c>
      <c r="KH22">
        <f t="shared" si="212"/>
        <v>2</v>
      </c>
      <c r="KI22">
        <f t="shared" si="213"/>
        <v>0</v>
      </c>
      <c r="KJ22">
        <f t="shared" si="214"/>
        <v>0</v>
      </c>
      <c r="KK22">
        <f t="shared" si="215"/>
        <v>0</v>
      </c>
      <c r="KL22" t="b">
        <f t="shared" ca="1" si="216"/>
        <v>0</v>
      </c>
      <c r="KM22" t="b">
        <f t="shared" ca="1" si="217"/>
        <v>1</v>
      </c>
      <c r="KN22" t="b">
        <f t="shared" ca="1" si="218"/>
        <v>0</v>
      </c>
      <c r="KO22">
        <f t="shared" ca="1" si="219"/>
        <v>0</v>
      </c>
      <c r="KP22" t="b">
        <f t="shared" si="220"/>
        <v>0</v>
      </c>
      <c r="KQ22" t="b">
        <f t="shared" si="221"/>
        <v>0</v>
      </c>
      <c r="KR22">
        <f t="shared" ca="1" si="222"/>
        <v>0</v>
      </c>
      <c r="KS22" s="6">
        <f t="shared" ca="1" si="223"/>
        <v>1</v>
      </c>
      <c r="KT22">
        <f>MATCH(KT$2,Spieltage!$C$273:$C$281,0)+272</f>
        <v>274</v>
      </c>
      <c r="KU22" t="e">
        <f>MATCH(KT$2,Spieltage!$E$273:$E$281,0)+272</f>
        <v>#N/A</v>
      </c>
      <c r="KV22">
        <f t="shared" si="224"/>
        <v>274</v>
      </c>
      <c r="KW22">
        <f ca="1">INDIRECT("Spieltage!$F"&amp;'i2'!KV22)</f>
        <v>0</v>
      </c>
      <c r="KX22" s="35" t="s">
        <v>12</v>
      </c>
      <c r="KY22" s="97">
        <f ca="1">INDIRECT("Spieltage!$H"&amp;'i2'!KV22)</f>
        <v>0</v>
      </c>
      <c r="KZ22" t="str">
        <f t="shared" si="225"/>
        <v>H</v>
      </c>
      <c r="LA22">
        <f t="shared" si="226"/>
        <v>1</v>
      </c>
      <c r="LB22" t="b">
        <f t="shared" ca="1" si="227"/>
        <v>0</v>
      </c>
      <c r="LC22" t="b">
        <f t="shared" ca="1" si="228"/>
        <v>1</v>
      </c>
      <c r="LD22" t="b">
        <f t="shared" ca="1" si="229"/>
        <v>0</v>
      </c>
      <c r="LE22">
        <f t="shared" si="230"/>
        <v>0</v>
      </c>
      <c r="LF22">
        <f t="shared" si="231"/>
        <v>0</v>
      </c>
      <c r="LG22">
        <f t="shared" si="232"/>
        <v>0</v>
      </c>
      <c r="LH22">
        <f t="shared" ca="1" si="233"/>
        <v>0</v>
      </c>
      <c r="LI22">
        <f t="shared" ca="1" si="234"/>
        <v>0</v>
      </c>
      <c r="LJ22">
        <f t="shared" ca="1" si="235"/>
        <v>1</v>
      </c>
      <c r="LK22" t="b">
        <f t="shared" si="236"/>
        <v>0</v>
      </c>
      <c r="LL22" s="6" t="b">
        <f t="shared" si="237"/>
        <v>0</v>
      </c>
      <c r="LM22" t="e">
        <f>MATCH(LM$2,Spieltage!$C$273:$C$281,0)+272</f>
        <v>#N/A</v>
      </c>
      <c r="LN22">
        <f>MATCH(LM$2,Spieltage!$E$273:$E$281,0)+272</f>
        <v>277</v>
      </c>
      <c r="LO22">
        <f t="shared" si="238"/>
        <v>277</v>
      </c>
      <c r="LP22">
        <f ca="1">INDIRECT("Spieltage!$F"&amp;'i2'!LO22)</f>
        <v>0</v>
      </c>
      <c r="LQ22" s="35" t="s">
        <v>12</v>
      </c>
      <c r="LR22" s="97">
        <f ca="1">INDIRECT("Spieltage!$H"&amp;'i2'!LO22)</f>
        <v>0</v>
      </c>
      <c r="LS22" t="str">
        <f t="shared" si="239"/>
        <v>A</v>
      </c>
      <c r="LT22">
        <f t="shared" si="240"/>
        <v>2</v>
      </c>
      <c r="LU22">
        <f t="shared" si="241"/>
        <v>0</v>
      </c>
      <c r="LV22">
        <f t="shared" si="242"/>
        <v>0</v>
      </c>
      <c r="LW22">
        <f t="shared" si="243"/>
        <v>0</v>
      </c>
      <c r="LX22" t="b">
        <f t="shared" ca="1" si="244"/>
        <v>0</v>
      </c>
      <c r="LY22" t="b">
        <f t="shared" ca="1" si="245"/>
        <v>1</v>
      </c>
      <c r="LZ22" t="b">
        <f t="shared" ca="1" si="246"/>
        <v>0</v>
      </c>
      <c r="MA22">
        <f t="shared" ca="1" si="247"/>
        <v>0</v>
      </c>
      <c r="MB22" t="b">
        <f t="shared" si="248"/>
        <v>0</v>
      </c>
      <c r="MC22" t="b">
        <f t="shared" si="249"/>
        <v>0</v>
      </c>
      <c r="MD22">
        <f t="shared" ca="1" si="250"/>
        <v>0</v>
      </c>
      <c r="ME22" s="6">
        <f t="shared" ca="1" si="251"/>
        <v>1</v>
      </c>
    </row>
    <row r="23" spans="1:343" x14ac:dyDescent="0.2">
      <c r="A23" s="104" t="s">
        <v>231</v>
      </c>
      <c r="B23" t="e">
        <f>MATCH(B$2,Spieltage!$C$288:$C$296,0)+287</f>
        <v>#N/A</v>
      </c>
      <c r="C23">
        <f>MATCH(B$2,Spieltage!$E$288:$E$296,0)+287</f>
        <v>288</v>
      </c>
      <c r="D23">
        <f t="shared" si="0"/>
        <v>288</v>
      </c>
      <c r="E23">
        <f ca="1">INDIRECT("Spieltage!$F"&amp;'i2'!D23)</f>
        <v>0</v>
      </c>
      <c r="F23" s="35" t="s">
        <v>12</v>
      </c>
      <c r="G23" s="97">
        <f ca="1">INDIRECT("Spieltage!$H"&amp;'i2'!D23)</f>
        <v>0</v>
      </c>
      <c r="H23" t="str">
        <f t="shared" si="1"/>
        <v>A</v>
      </c>
      <c r="I23">
        <f t="shared" si="2"/>
        <v>2</v>
      </c>
      <c r="J23">
        <f t="shared" si="3"/>
        <v>0</v>
      </c>
      <c r="K23">
        <f t="shared" si="4"/>
        <v>0</v>
      </c>
      <c r="L23">
        <f t="shared" si="5"/>
        <v>0</v>
      </c>
      <c r="M23" t="b">
        <f t="shared" ca="1" si="6"/>
        <v>0</v>
      </c>
      <c r="N23" t="b">
        <f t="shared" ca="1" si="7"/>
        <v>1</v>
      </c>
      <c r="O23" t="b">
        <f t="shared" ca="1" si="8"/>
        <v>0</v>
      </c>
      <c r="P23">
        <f t="shared" ca="1" si="9"/>
        <v>0</v>
      </c>
      <c r="Q23" t="b">
        <f t="shared" si="10"/>
        <v>0</v>
      </c>
      <c r="R23" t="b">
        <f t="shared" si="11"/>
        <v>0</v>
      </c>
      <c r="S23">
        <f t="shared" ca="1" si="12"/>
        <v>0</v>
      </c>
      <c r="T23" s="6">
        <f t="shared" ca="1" si="13"/>
        <v>1</v>
      </c>
      <c r="U23">
        <f>MATCH(U$2,Spieltage!$C$288:$C$296,0)+287</f>
        <v>291</v>
      </c>
      <c r="V23" t="e">
        <f>MATCH(U$2,Spieltage!$E$288:$E$296,0)+287</f>
        <v>#N/A</v>
      </c>
      <c r="W23">
        <f t="shared" si="14"/>
        <v>291</v>
      </c>
      <c r="X23">
        <f ca="1">INDIRECT("Spieltage!$F"&amp;'i2'!W23)</f>
        <v>0</v>
      </c>
      <c r="Y23" s="35" t="s">
        <v>12</v>
      </c>
      <c r="Z23" s="97">
        <f ca="1">INDIRECT("Spieltage!$H"&amp;'i2'!W23)</f>
        <v>0</v>
      </c>
      <c r="AA23" t="str">
        <f t="shared" si="15"/>
        <v>H</v>
      </c>
      <c r="AB23">
        <f t="shared" si="16"/>
        <v>1</v>
      </c>
      <c r="AC23" t="b">
        <f t="shared" ca="1" si="17"/>
        <v>0</v>
      </c>
      <c r="AD23" t="b">
        <f t="shared" ca="1" si="18"/>
        <v>1</v>
      </c>
      <c r="AE23" t="b">
        <f t="shared" ca="1" si="19"/>
        <v>0</v>
      </c>
      <c r="AF23">
        <f t="shared" si="20"/>
        <v>0</v>
      </c>
      <c r="AG23">
        <f t="shared" si="21"/>
        <v>0</v>
      </c>
      <c r="AH23">
        <f t="shared" si="22"/>
        <v>0</v>
      </c>
      <c r="AI23">
        <f t="shared" ca="1" si="23"/>
        <v>0</v>
      </c>
      <c r="AJ23">
        <f t="shared" ca="1" si="24"/>
        <v>0</v>
      </c>
      <c r="AK23">
        <f t="shared" ca="1" si="25"/>
        <v>1</v>
      </c>
      <c r="AL23" t="b">
        <f t="shared" si="26"/>
        <v>0</v>
      </c>
      <c r="AM23" s="6" t="b">
        <f t="shared" si="27"/>
        <v>0</v>
      </c>
      <c r="AN23" t="e">
        <f>MATCH(AN$2,Spieltage!$C$288:$C$296,0)+287</f>
        <v>#N/A</v>
      </c>
      <c r="AO23">
        <f>MATCH(AN$2,Spieltage!$E$288:$E$296,0)+287</f>
        <v>289</v>
      </c>
      <c r="AP23">
        <f t="shared" si="28"/>
        <v>289</v>
      </c>
      <c r="AQ23">
        <f ca="1">INDIRECT("Spieltage!$F"&amp;'i2'!AP23)</f>
        <v>0</v>
      </c>
      <c r="AR23" s="35" t="s">
        <v>12</v>
      </c>
      <c r="AS23" s="97">
        <f ca="1">INDIRECT("Spieltage!$H"&amp;'i2'!AP23)</f>
        <v>0</v>
      </c>
      <c r="AT23" t="str">
        <f t="shared" si="29"/>
        <v>A</v>
      </c>
      <c r="AU23">
        <f t="shared" si="30"/>
        <v>2</v>
      </c>
      <c r="AV23">
        <f t="shared" si="31"/>
        <v>0</v>
      </c>
      <c r="AW23">
        <f t="shared" si="32"/>
        <v>0</v>
      </c>
      <c r="AX23">
        <f t="shared" si="33"/>
        <v>0</v>
      </c>
      <c r="AY23" t="b">
        <f t="shared" ca="1" si="34"/>
        <v>0</v>
      </c>
      <c r="AZ23" t="b">
        <f t="shared" ca="1" si="35"/>
        <v>1</v>
      </c>
      <c r="BA23" t="b">
        <f t="shared" ca="1" si="36"/>
        <v>0</v>
      </c>
      <c r="BB23">
        <f t="shared" ca="1" si="37"/>
        <v>0</v>
      </c>
      <c r="BC23" t="b">
        <f t="shared" si="38"/>
        <v>0</v>
      </c>
      <c r="BD23" t="b">
        <f t="shared" si="39"/>
        <v>0</v>
      </c>
      <c r="BE23">
        <f t="shared" ca="1" si="40"/>
        <v>0</v>
      </c>
      <c r="BF23" s="6">
        <f t="shared" ca="1" si="41"/>
        <v>1</v>
      </c>
      <c r="BG23">
        <f>MATCH(BG$2,Spieltage!$C$288:$C$296,0)+287</f>
        <v>294</v>
      </c>
      <c r="BH23" t="e">
        <f>MATCH(BG$2,Spieltage!$E$288:$E$296,0)+287</f>
        <v>#N/A</v>
      </c>
      <c r="BI23">
        <f t="shared" si="42"/>
        <v>294</v>
      </c>
      <c r="BJ23">
        <f ca="1">INDIRECT("Spieltage!$F"&amp;'i2'!BI23)</f>
        <v>0</v>
      </c>
      <c r="BK23" s="35" t="s">
        <v>12</v>
      </c>
      <c r="BL23" s="97">
        <f ca="1">INDIRECT("Spieltage!$H"&amp;'i2'!BI23)</f>
        <v>0</v>
      </c>
      <c r="BM23" t="str">
        <f t="shared" si="43"/>
        <v>H</v>
      </c>
      <c r="BN23">
        <f t="shared" si="44"/>
        <v>1</v>
      </c>
      <c r="BO23" t="b">
        <f t="shared" ca="1" si="45"/>
        <v>0</v>
      </c>
      <c r="BP23" t="b">
        <f t="shared" ca="1" si="46"/>
        <v>1</v>
      </c>
      <c r="BQ23" t="b">
        <f t="shared" ca="1" si="47"/>
        <v>0</v>
      </c>
      <c r="BR23">
        <f t="shared" si="48"/>
        <v>0</v>
      </c>
      <c r="BS23">
        <f t="shared" si="49"/>
        <v>0</v>
      </c>
      <c r="BT23">
        <f t="shared" si="50"/>
        <v>0</v>
      </c>
      <c r="BU23">
        <f t="shared" ca="1" si="51"/>
        <v>0</v>
      </c>
      <c r="BV23">
        <f t="shared" ca="1" si="52"/>
        <v>0</v>
      </c>
      <c r="BW23">
        <f t="shared" ca="1" si="53"/>
        <v>1</v>
      </c>
      <c r="BX23" t="b">
        <f t="shared" si="54"/>
        <v>0</v>
      </c>
      <c r="BY23" s="6" t="b">
        <f t="shared" si="55"/>
        <v>0</v>
      </c>
      <c r="BZ23">
        <f>MATCH(BZ$2,Spieltage!$C$288:$C$296,0)+287</f>
        <v>289</v>
      </c>
      <c r="CA23" t="e">
        <f>MATCH(BZ$2,Spieltage!$E$288:$E$296,0)+287</f>
        <v>#N/A</v>
      </c>
      <c r="CB23">
        <f t="shared" si="56"/>
        <v>289</v>
      </c>
      <c r="CC23">
        <f ca="1">INDIRECT("Spieltage!$F"&amp;'i2'!CB23)</f>
        <v>0</v>
      </c>
      <c r="CD23" s="35" t="s">
        <v>12</v>
      </c>
      <c r="CE23" s="97">
        <f ca="1">INDIRECT("Spieltage!$H"&amp;'i2'!CB23)</f>
        <v>0</v>
      </c>
      <c r="CF23" t="str">
        <f t="shared" si="57"/>
        <v>H</v>
      </c>
      <c r="CG23">
        <f t="shared" si="58"/>
        <v>1</v>
      </c>
      <c r="CH23" t="b">
        <f t="shared" ca="1" si="59"/>
        <v>0</v>
      </c>
      <c r="CI23" t="b">
        <f t="shared" ca="1" si="60"/>
        <v>1</v>
      </c>
      <c r="CJ23" t="b">
        <f t="shared" ca="1" si="61"/>
        <v>0</v>
      </c>
      <c r="CK23">
        <f t="shared" si="62"/>
        <v>0</v>
      </c>
      <c r="CL23">
        <f t="shared" si="63"/>
        <v>0</v>
      </c>
      <c r="CM23">
        <f t="shared" si="64"/>
        <v>0</v>
      </c>
      <c r="CN23">
        <f t="shared" ca="1" si="65"/>
        <v>0</v>
      </c>
      <c r="CO23">
        <f t="shared" ca="1" si="66"/>
        <v>0</v>
      </c>
      <c r="CP23">
        <f t="shared" ca="1" si="67"/>
        <v>1</v>
      </c>
      <c r="CQ23" t="b">
        <f t="shared" si="68"/>
        <v>0</v>
      </c>
      <c r="CR23" s="6" t="b">
        <f t="shared" si="69"/>
        <v>0</v>
      </c>
      <c r="CS23">
        <f>MATCH(CS$2,Spieltage!$C$288:$C$296,0)+287</f>
        <v>292</v>
      </c>
      <c r="CT23" t="e">
        <f>MATCH(CS$2,Spieltage!$E$288:$E$296,0)+287</f>
        <v>#N/A</v>
      </c>
      <c r="CU23">
        <f t="shared" si="70"/>
        <v>292</v>
      </c>
      <c r="CV23">
        <f ca="1">INDIRECT("Spieltage!$F"&amp;'i2'!CU23)</f>
        <v>0</v>
      </c>
      <c r="CW23" s="35" t="s">
        <v>12</v>
      </c>
      <c r="CX23" s="97">
        <f ca="1">INDIRECT("Spieltage!$H"&amp;'i2'!CU23)</f>
        <v>0</v>
      </c>
      <c r="CY23" t="str">
        <f t="shared" si="71"/>
        <v>H</v>
      </c>
      <c r="CZ23">
        <f t="shared" si="72"/>
        <v>1</v>
      </c>
      <c r="DA23" t="b">
        <f t="shared" ca="1" si="73"/>
        <v>0</v>
      </c>
      <c r="DB23" t="b">
        <f t="shared" ca="1" si="74"/>
        <v>1</v>
      </c>
      <c r="DC23" t="b">
        <f t="shared" ca="1" si="75"/>
        <v>0</v>
      </c>
      <c r="DD23">
        <f t="shared" si="76"/>
        <v>0</v>
      </c>
      <c r="DE23">
        <f t="shared" si="77"/>
        <v>0</v>
      </c>
      <c r="DF23">
        <f t="shared" si="78"/>
        <v>0</v>
      </c>
      <c r="DG23">
        <f t="shared" ca="1" si="79"/>
        <v>0</v>
      </c>
      <c r="DH23">
        <f t="shared" ca="1" si="80"/>
        <v>0</v>
      </c>
      <c r="DI23">
        <f t="shared" ca="1" si="81"/>
        <v>1</v>
      </c>
      <c r="DJ23" t="b">
        <f t="shared" si="82"/>
        <v>0</v>
      </c>
      <c r="DK23" s="6" t="b">
        <f t="shared" si="83"/>
        <v>0</v>
      </c>
      <c r="DL23" t="e">
        <f>MATCH(DL$2,Spieltage!$C$288:$C$296,0)+287</f>
        <v>#N/A</v>
      </c>
      <c r="DM23">
        <f>MATCH(DL$2,Spieltage!$E$288:$E$296,0)+287</f>
        <v>290</v>
      </c>
      <c r="DN23">
        <f t="shared" si="84"/>
        <v>290</v>
      </c>
      <c r="DO23">
        <f ca="1">INDIRECT("Spieltage!$F"&amp;'i2'!DN23)</f>
        <v>0</v>
      </c>
      <c r="DP23" s="35" t="s">
        <v>12</v>
      </c>
      <c r="DQ23" s="97">
        <f ca="1">INDIRECT("Spieltage!$H"&amp;'i2'!DN23)</f>
        <v>0</v>
      </c>
      <c r="DR23" t="str">
        <f t="shared" si="85"/>
        <v>A</v>
      </c>
      <c r="DS23">
        <f t="shared" si="86"/>
        <v>2</v>
      </c>
      <c r="DT23">
        <f t="shared" si="87"/>
        <v>0</v>
      </c>
      <c r="DU23">
        <f t="shared" si="88"/>
        <v>0</v>
      </c>
      <c r="DV23">
        <f t="shared" si="89"/>
        <v>0</v>
      </c>
      <c r="DW23" t="b">
        <f t="shared" ca="1" si="90"/>
        <v>0</v>
      </c>
      <c r="DX23" t="b">
        <f t="shared" ca="1" si="91"/>
        <v>1</v>
      </c>
      <c r="DY23" t="b">
        <f t="shared" ca="1" si="92"/>
        <v>0</v>
      </c>
      <c r="DZ23">
        <f t="shared" ca="1" si="93"/>
        <v>0</v>
      </c>
      <c r="EA23" t="b">
        <f t="shared" si="94"/>
        <v>0</v>
      </c>
      <c r="EB23" t="b">
        <f t="shared" si="95"/>
        <v>0</v>
      </c>
      <c r="EC23">
        <f t="shared" ca="1" si="96"/>
        <v>0</v>
      </c>
      <c r="ED23" s="6">
        <f t="shared" ca="1" si="97"/>
        <v>1</v>
      </c>
      <c r="EE23">
        <f>MATCH(EE$2,Spieltage!$C$288:$C$296,0)+287</f>
        <v>295</v>
      </c>
      <c r="EF23" t="e">
        <f>MATCH(EE$2,Spieltage!$E$288:$E$296,0)+287</f>
        <v>#N/A</v>
      </c>
      <c r="EG23">
        <f t="shared" si="98"/>
        <v>295</v>
      </c>
      <c r="EH23">
        <f ca="1">INDIRECT("Spieltage!$F"&amp;'i2'!EG23)</f>
        <v>0</v>
      </c>
      <c r="EI23" s="35" t="s">
        <v>12</v>
      </c>
      <c r="EJ23" s="97">
        <f ca="1">INDIRECT("Spieltage!$H"&amp;'i2'!EG23)</f>
        <v>0</v>
      </c>
      <c r="EK23" t="str">
        <f t="shared" si="99"/>
        <v>H</v>
      </c>
      <c r="EL23">
        <f t="shared" si="100"/>
        <v>1</v>
      </c>
      <c r="EM23" t="b">
        <f t="shared" ca="1" si="101"/>
        <v>0</v>
      </c>
      <c r="EN23" t="b">
        <f t="shared" ca="1" si="102"/>
        <v>1</v>
      </c>
      <c r="EO23" t="b">
        <f t="shared" ca="1" si="103"/>
        <v>0</v>
      </c>
      <c r="EP23">
        <f t="shared" si="104"/>
        <v>0</v>
      </c>
      <c r="EQ23">
        <f t="shared" si="105"/>
        <v>0</v>
      </c>
      <c r="ER23">
        <f t="shared" si="106"/>
        <v>0</v>
      </c>
      <c r="ES23">
        <f t="shared" ca="1" si="107"/>
        <v>0</v>
      </c>
      <c r="ET23">
        <f t="shared" ca="1" si="108"/>
        <v>0</v>
      </c>
      <c r="EU23">
        <f t="shared" ca="1" si="109"/>
        <v>1</v>
      </c>
      <c r="EV23" t="b">
        <f t="shared" si="110"/>
        <v>0</v>
      </c>
      <c r="EW23" s="6" t="b">
        <f t="shared" si="111"/>
        <v>0</v>
      </c>
      <c r="EX23" t="e">
        <f>MATCH(EX$2,Spieltage!$C$288:$C$296,0)+287</f>
        <v>#N/A</v>
      </c>
      <c r="EY23">
        <f>MATCH(EX$2,Spieltage!$E$288:$E$296,0)+287</f>
        <v>291</v>
      </c>
      <c r="EZ23">
        <f t="shared" si="112"/>
        <v>291</v>
      </c>
      <c r="FA23">
        <f ca="1">INDIRECT("Spieltage!$F"&amp;'i2'!EZ23)</f>
        <v>0</v>
      </c>
      <c r="FB23" s="35" t="s">
        <v>12</v>
      </c>
      <c r="FC23" s="97">
        <f ca="1">INDIRECT("Spieltage!$H"&amp;'i2'!EZ23)</f>
        <v>0</v>
      </c>
      <c r="FD23" t="str">
        <f t="shared" si="113"/>
        <v>A</v>
      </c>
      <c r="FE23">
        <f t="shared" si="114"/>
        <v>2</v>
      </c>
      <c r="FF23">
        <f t="shared" si="115"/>
        <v>0</v>
      </c>
      <c r="FG23">
        <f t="shared" si="116"/>
        <v>0</v>
      </c>
      <c r="FH23">
        <f t="shared" si="117"/>
        <v>0</v>
      </c>
      <c r="FI23" t="b">
        <f t="shared" ca="1" si="118"/>
        <v>0</v>
      </c>
      <c r="FJ23" t="b">
        <f t="shared" ca="1" si="119"/>
        <v>1</v>
      </c>
      <c r="FK23" t="b">
        <f t="shared" ca="1" si="120"/>
        <v>0</v>
      </c>
      <c r="FL23">
        <f t="shared" ca="1" si="121"/>
        <v>0</v>
      </c>
      <c r="FM23" t="b">
        <f t="shared" si="122"/>
        <v>0</v>
      </c>
      <c r="FN23" t="b">
        <f t="shared" si="123"/>
        <v>0</v>
      </c>
      <c r="FO23">
        <f t="shared" ca="1" si="124"/>
        <v>0</v>
      </c>
      <c r="FP23" s="6">
        <f t="shared" ca="1" si="125"/>
        <v>1</v>
      </c>
      <c r="FQ23">
        <f>MATCH(FQ$2,Spieltage!$C$288:$C$296,0)+287</f>
        <v>293</v>
      </c>
      <c r="FR23" t="e">
        <f>MATCH(FQ$2,Spieltage!$E$288:$E$296,0)+287</f>
        <v>#N/A</v>
      </c>
      <c r="FS23">
        <f t="shared" si="126"/>
        <v>293</v>
      </c>
      <c r="FT23">
        <f ca="1">INDIRECT("Spieltage!$F"&amp;'i2'!FS23)</f>
        <v>0</v>
      </c>
      <c r="FU23" s="35" t="s">
        <v>12</v>
      </c>
      <c r="FV23" s="97">
        <f ca="1">INDIRECT("Spieltage!$H"&amp;'i2'!FS23)</f>
        <v>0</v>
      </c>
      <c r="FW23" t="str">
        <f t="shared" si="127"/>
        <v>H</v>
      </c>
      <c r="FX23">
        <f t="shared" si="128"/>
        <v>1</v>
      </c>
      <c r="FY23" t="b">
        <f t="shared" ca="1" si="129"/>
        <v>0</v>
      </c>
      <c r="FZ23" t="b">
        <f t="shared" ca="1" si="130"/>
        <v>1</v>
      </c>
      <c r="GA23" t="b">
        <f t="shared" ca="1" si="131"/>
        <v>0</v>
      </c>
      <c r="GB23">
        <f t="shared" si="132"/>
        <v>0</v>
      </c>
      <c r="GC23">
        <f t="shared" si="133"/>
        <v>0</v>
      </c>
      <c r="GD23">
        <f t="shared" si="134"/>
        <v>0</v>
      </c>
      <c r="GE23">
        <f t="shared" ca="1" si="135"/>
        <v>0</v>
      </c>
      <c r="GF23">
        <f t="shared" ca="1" si="136"/>
        <v>0</v>
      </c>
      <c r="GG23">
        <f t="shared" ca="1" si="137"/>
        <v>1</v>
      </c>
      <c r="GH23" t="b">
        <f t="shared" si="138"/>
        <v>0</v>
      </c>
      <c r="GI23" s="6" t="b">
        <f t="shared" si="139"/>
        <v>0</v>
      </c>
      <c r="GJ23" t="e">
        <f>MATCH(GJ$2,Spieltage!$C$288:$C$296,0)+287</f>
        <v>#N/A</v>
      </c>
      <c r="GK23">
        <f>MATCH(GJ$2,Spieltage!$E$288:$E$296,0)+287</f>
        <v>292</v>
      </c>
      <c r="GL23">
        <f t="shared" si="140"/>
        <v>292</v>
      </c>
      <c r="GM23">
        <f ca="1">INDIRECT("Spieltage!$F"&amp;'i2'!GL23)</f>
        <v>0</v>
      </c>
      <c r="GN23" s="35" t="s">
        <v>12</v>
      </c>
      <c r="GO23" s="97">
        <f ca="1">INDIRECT("Spieltage!$H"&amp;'i2'!GL23)</f>
        <v>0</v>
      </c>
      <c r="GP23" t="str">
        <f t="shared" si="141"/>
        <v>A</v>
      </c>
      <c r="GQ23">
        <f t="shared" si="142"/>
        <v>2</v>
      </c>
      <c r="GR23">
        <f t="shared" si="143"/>
        <v>0</v>
      </c>
      <c r="GS23">
        <f t="shared" si="144"/>
        <v>0</v>
      </c>
      <c r="GT23">
        <f t="shared" si="145"/>
        <v>0</v>
      </c>
      <c r="GU23" t="b">
        <f t="shared" ca="1" si="146"/>
        <v>0</v>
      </c>
      <c r="GV23" t="b">
        <f t="shared" ca="1" si="147"/>
        <v>1</v>
      </c>
      <c r="GW23" t="b">
        <f t="shared" ca="1" si="148"/>
        <v>0</v>
      </c>
      <c r="GX23">
        <f t="shared" ca="1" si="149"/>
        <v>0</v>
      </c>
      <c r="GY23" t="b">
        <f t="shared" si="150"/>
        <v>0</v>
      </c>
      <c r="GZ23" t="b">
        <f t="shared" si="151"/>
        <v>0</v>
      </c>
      <c r="HA23">
        <f t="shared" ca="1" si="152"/>
        <v>0</v>
      </c>
      <c r="HB23" s="6">
        <f t="shared" ca="1" si="153"/>
        <v>1</v>
      </c>
      <c r="HC23">
        <f>MATCH(HC$2,Spieltage!$C$288:$C$296,0)+287</f>
        <v>288</v>
      </c>
      <c r="HD23" t="e">
        <f>MATCH(HC$2,Spieltage!$E$288:$E$296,0)+287</f>
        <v>#N/A</v>
      </c>
      <c r="HE23">
        <f t="shared" si="154"/>
        <v>288</v>
      </c>
      <c r="HF23">
        <f ca="1">INDIRECT("Spieltage!$F"&amp;'i2'!HE23)</f>
        <v>0</v>
      </c>
      <c r="HG23" s="35" t="s">
        <v>12</v>
      </c>
      <c r="HH23" s="97">
        <f ca="1">INDIRECT("Spieltage!$H"&amp;'i2'!HE23)</f>
        <v>0</v>
      </c>
      <c r="HI23" t="str">
        <f t="shared" si="155"/>
        <v>H</v>
      </c>
      <c r="HJ23">
        <f t="shared" si="156"/>
        <v>1</v>
      </c>
      <c r="HK23" t="b">
        <f t="shared" ca="1" si="157"/>
        <v>0</v>
      </c>
      <c r="HL23" t="b">
        <f t="shared" ca="1" si="158"/>
        <v>1</v>
      </c>
      <c r="HM23" t="b">
        <f t="shared" ca="1" si="159"/>
        <v>0</v>
      </c>
      <c r="HN23">
        <f t="shared" si="160"/>
        <v>0</v>
      </c>
      <c r="HO23">
        <f t="shared" si="161"/>
        <v>0</v>
      </c>
      <c r="HP23">
        <f t="shared" si="162"/>
        <v>0</v>
      </c>
      <c r="HQ23">
        <f t="shared" ca="1" si="163"/>
        <v>0</v>
      </c>
      <c r="HR23">
        <f t="shared" ca="1" si="164"/>
        <v>0</v>
      </c>
      <c r="HS23">
        <f t="shared" ca="1" si="165"/>
        <v>1</v>
      </c>
      <c r="HT23" t="b">
        <f t="shared" si="166"/>
        <v>0</v>
      </c>
      <c r="HU23" s="6" t="b">
        <f t="shared" si="167"/>
        <v>0</v>
      </c>
      <c r="HV23" t="e">
        <f>MATCH(HV$2,Spieltage!$C$288:$C$296,0)+287</f>
        <v>#N/A</v>
      </c>
      <c r="HW23">
        <f>MATCH(HV$2,Spieltage!$E$288:$E$296,0)+287</f>
        <v>294</v>
      </c>
      <c r="HX23">
        <f t="shared" si="168"/>
        <v>294</v>
      </c>
      <c r="HY23">
        <f ca="1">INDIRECT("Spieltage!$F"&amp;'i2'!HX23)</f>
        <v>0</v>
      </c>
      <c r="HZ23" s="35" t="s">
        <v>12</v>
      </c>
      <c r="IA23" s="97">
        <f ca="1">INDIRECT("Spieltage!$H"&amp;'i2'!HX23)</f>
        <v>0</v>
      </c>
      <c r="IB23" t="str">
        <f t="shared" si="169"/>
        <v>A</v>
      </c>
      <c r="IC23">
        <f t="shared" si="170"/>
        <v>2</v>
      </c>
      <c r="ID23">
        <f t="shared" si="171"/>
        <v>0</v>
      </c>
      <c r="IE23">
        <f t="shared" si="172"/>
        <v>0</v>
      </c>
      <c r="IF23">
        <f t="shared" si="173"/>
        <v>0</v>
      </c>
      <c r="IG23" t="b">
        <f t="shared" ca="1" si="174"/>
        <v>0</v>
      </c>
      <c r="IH23" t="b">
        <f t="shared" ca="1" si="175"/>
        <v>1</v>
      </c>
      <c r="II23" t="b">
        <f t="shared" ca="1" si="176"/>
        <v>0</v>
      </c>
      <c r="IJ23">
        <f t="shared" ca="1" si="177"/>
        <v>0</v>
      </c>
      <c r="IK23" t="b">
        <f t="shared" si="178"/>
        <v>0</v>
      </c>
      <c r="IL23" t="b">
        <f t="shared" si="179"/>
        <v>0</v>
      </c>
      <c r="IM23">
        <f t="shared" ca="1" si="180"/>
        <v>0</v>
      </c>
      <c r="IN23" s="6">
        <f t="shared" ca="1" si="181"/>
        <v>1</v>
      </c>
      <c r="IO23">
        <f>MATCH(IO$2,Spieltage!$C$288:$C$296,0)+287</f>
        <v>290</v>
      </c>
      <c r="IP23" t="e">
        <f>MATCH(IO$2,Spieltage!$E$288:$E$296,0)+287</f>
        <v>#N/A</v>
      </c>
      <c r="IQ23">
        <f t="shared" si="182"/>
        <v>290</v>
      </c>
      <c r="IR23">
        <f ca="1">INDIRECT("Spieltage!$F"&amp;'i2'!IQ23)</f>
        <v>0</v>
      </c>
      <c r="IS23" s="35" t="s">
        <v>12</v>
      </c>
      <c r="IT23" s="97">
        <f ca="1">INDIRECT("Spieltage!$H"&amp;'i2'!IQ23)</f>
        <v>0</v>
      </c>
      <c r="IU23" t="str">
        <f t="shared" si="183"/>
        <v>H</v>
      </c>
      <c r="IV23">
        <f t="shared" si="184"/>
        <v>1</v>
      </c>
      <c r="IW23" t="b">
        <f t="shared" ca="1" si="185"/>
        <v>0</v>
      </c>
      <c r="IX23" t="b">
        <f t="shared" ca="1" si="186"/>
        <v>1</v>
      </c>
      <c r="IY23" t="b">
        <f t="shared" ca="1" si="187"/>
        <v>0</v>
      </c>
      <c r="IZ23">
        <f t="shared" si="188"/>
        <v>0</v>
      </c>
      <c r="JA23">
        <f t="shared" si="189"/>
        <v>0</v>
      </c>
      <c r="JB23">
        <f t="shared" si="190"/>
        <v>0</v>
      </c>
      <c r="JC23">
        <f t="shared" ca="1" si="191"/>
        <v>0</v>
      </c>
      <c r="JD23">
        <f t="shared" ca="1" si="192"/>
        <v>0</v>
      </c>
      <c r="JE23">
        <f t="shared" ca="1" si="193"/>
        <v>1</v>
      </c>
      <c r="JF23" t="b">
        <f t="shared" si="194"/>
        <v>0</v>
      </c>
      <c r="JG23" s="6" t="b">
        <f t="shared" si="195"/>
        <v>0</v>
      </c>
      <c r="JH23" t="e">
        <f>MATCH(JH$2,Spieltage!$C$288:$C$296,0)+287</f>
        <v>#N/A</v>
      </c>
      <c r="JI23">
        <f>MATCH(JH$2,Spieltage!$E$288:$E$296,0)+287</f>
        <v>295</v>
      </c>
      <c r="JJ23">
        <f t="shared" si="196"/>
        <v>295</v>
      </c>
      <c r="JK23">
        <f ca="1">INDIRECT("Spieltage!$F"&amp;'i2'!JJ23)</f>
        <v>0</v>
      </c>
      <c r="JL23" s="35" t="s">
        <v>12</v>
      </c>
      <c r="JM23" s="97">
        <f ca="1">INDIRECT("Spieltage!$H"&amp;'i2'!JJ23)</f>
        <v>0</v>
      </c>
      <c r="JN23" t="str">
        <f t="shared" si="197"/>
        <v>A</v>
      </c>
      <c r="JO23">
        <f t="shared" si="198"/>
        <v>2</v>
      </c>
      <c r="JP23">
        <f t="shared" si="199"/>
        <v>0</v>
      </c>
      <c r="JQ23">
        <f t="shared" si="200"/>
        <v>0</v>
      </c>
      <c r="JR23">
        <f t="shared" si="201"/>
        <v>0</v>
      </c>
      <c r="JS23" t="b">
        <f t="shared" ca="1" si="202"/>
        <v>0</v>
      </c>
      <c r="JT23" t="b">
        <f t="shared" ca="1" si="203"/>
        <v>1</v>
      </c>
      <c r="JU23" t="b">
        <f t="shared" ca="1" si="204"/>
        <v>0</v>
      </c>
      <c r="JV23">
        <f t="shared" ca="1" si="205"/>
        <v>0</v>
      </c>
      <c r="JW23" t="b">
        <f t="shared" si="206"/>
        <v>0</v>
      </c>
      <c r="JX23" t="b">
        <f t="shared" si="207"/>
        <v>0</v>
      </c>
      <c r="JY23">
        <f t="shared" ca="1" si="208"/>
        <v>0</v>
      </c>
      <c r="JZ23" s="6">
        <f t="shared" ca="1" si="209"/>
        <v>1</v>
      </c>
      <c r="KA23">
        <f>MATCH(KA$2,Spieltage!$C$288:$C$296,0)+287</f>
        <v>296</v>
      </c>
      <c r="KB23" t="e">
        <f>MATCH(KA$2,Spieltage!$E$288:$E$296,0)+287</f>
        <v>#N/A</v>
      </c>
      <c r="KC23">
        <f t="shared" si="210"/>
        <v>296</v>
      </c>
      <c r="KD23">
        <f ca="1">INDIRECT("Spieltage!$F"&amp;'i2'!KC23)</f>
        <v>0</v>
      </c>
      <c r="KE23" s="35" t="s">
        <v>12</v>
      </c>
      <c r="KF23" s="97">
        <f ca="1">INDIRECT("Spieltage!$H"&amp;'i2'!KC23)</f>
        <v>0</v>
      </c>
      <c r="KG23" t="str">
        <f t="shared" si="211"/>
        <v>H</v>
      </c>
      <c r="KH23">
        <f t="shared" si="212"/>
        <v>1</v>
      </c>
      <c r="KI23" t="b">
        <f t="shared" ca="1" si="213"/>
        <v>0</v>
      </c>
      <c r="KJ23" t="b">
        <f t="shared" ca="1" si="214"/>
        <v>1</v>
      </c>
      <c r="KK23" t="b">
        <f t="shared" ca="1" si="215"/>
        <v>0</v>
      </c>
      <c r="KL23">
        <f t="shared" si="216"/>
        <v>0</v>
      </c>
      <c r="KM23">
        <f t="shared" si="217"/>
        <v>0</v>
      </c>
      <c r="KN23">
        <f t="shared" si="218"/>
        <v>0</v>
      </c>
      <c r="KO23">
        <f t="shared" ca="1" si="219"/>
        <v>0</v>
      </c>
      <c r="KP23">
        <f t="shared" ca="1" si="220"/>
        <v>0</v>
      </c>
      <c r="KQ23">
        <f t="shared" ca="1" si="221"/>
        <v>1</v>
      </c>
      <c r="KR23" t="b">
        <f t="shared" si="222"/>
        <v>0</v>
      </c>
      <c r="KS23" s="6" t="b">
        <f t="shared" si="223"/>
        <v>0</v>
      </c>
      <c r="KT23" t="e">
        <f>MATCH(KT$2,Spieltage!$C$288:$C$296,0)+287</f>
        <v>#N/A</v>
      </c>
      <c r="KU23">
        <f>MATCH(KT$2,Spieltage!$E$288:$E$296,0)+287</f>
        <v>296</v>
      </c>
      <c r="KV23">
        <f t="shared" si="224"/>
        <v>296</v>
      </c>
      <c r="KW23">
        <f ca="1">INDIRECT("Spieltage!$F"&amp;'i2'!KV23)</f>
        <v>0</v>
      </c>
      <c r="KX23" s="35" t="s">
        <v>12</v>
      </c>
      <c r="KY23" s="97">
        <f ca="1">INDIRECT("Spieltage!$H"&amp;'i2'!KV23)</f>
        <v>0</v>
      </c>
      <c r="KZ23" t="str">
        <f t="shared" si="225"/>
        <v>A</v>
      </c>
      <c r="LA23">
        <f t="shared" si="226"/>
        <v>2</v>
      </c>
      <c r="LB23">
        <f t="shared" si="227"/>
        <v>0</v>
      </c>
      <c r="LC23">
        <f t="shared" si="228"/>
        <v>0</v>
      </c>
      <c r="LD23">
        <f t="shared" si="229"/>
        <v>0</v>
      </c>
      <c r="LE23" t="b">
        <f t="shared" ca="1" si="230"/>
        <v>0</v>
      </c>
      <c r="LF23" t="b">
        <f t="shared" ca="1" si="231"/>
        <v>1</v>
      </c>
      <c r="LG23" t="b">
        <f t="shared" ca="1" si="232"/>
        <v>0</v>
      </c>
      <c r="LH23">
        <f t="shared" ca="1" si="233"/>
        <v>0</v>
      </c>
      <c r="LI23" t="b">
        <f t="shared" si="234"/>
        <v>0</v>
      </c>
      <c r="LJ23" t="b">
        <f t="shared" si="235"/>
        <v>0</v>
      </c>
      <c r="LK23">
        <f t="shared" ca="1" si="236"/>
        <v>0</v>
      </c>
      <c r="LL23" s="6">
        <f t="shared" ca="1" si="237"/>
        <v>1</v>
      </c>
      <c r="LM23" t="e">
        <f>MATCH(LM$2,Spieltage!$C$288:$C$296,0)+287</f>
        <v>#N/A</v>
      </c>
      <c r="LN23">
        <f>MATCH(LM$2,Spieltage!$E$288:$E$296,0)+287</f>
        <v>293</v>
      </c>
      <c r="LO23">
        <f t="shared" si="238"/>
        <v>293</v>
      </c>
      <c r="LP23">
        <f ca="1">INDIRECT("Spieltage!$F"&amp;'i2'!LO23)</f>
        <v>0</v>
      </c>
      <c r="LQ23" s="35" t="s">
        <v>12</v>
      </c>
      <c r="LR23" s="97">
        <f ca="1">INDIRECT("Spieltage!$H"&amp;'i2'!LO23)</f>
        <v>0</v>
      </c>
      <c r="LS23" t="str">
        <f t="shared" si="239"/>
        <v>A</v>
      </c>
      <c r="LT23">
        <f t="shared" si="240"/>
        <v>2</v>
      </c>
      <c r="LU23">
        <f t="shared" si="241"/>
        <v>0</v>
      </c>
      <c r="LV23">
        <f t="shared" si="242"/>
        <v>0</v>
      </c>
      <c r="LW23">
        <f t="shared" si="243"/>
        <v>0</v>
      </c>
      <c r="LX23" t="b">
        <f t="shared" ca="1" si="244"/>
        <v>0</v>
      </c>
      <c r="LY23" t="b">
        <f t="shared" ca="1" si="245"/>
        <v>1</v>
      </c>
      <c r="LZ23" t="b">
        <f t="shared" ca="1" si="246"/>
        <v>0</v>
      </c>
      <c r="MA23">
        <f t="shared" ca="1" si="247"/>
        <v>0</v>
      </c>
      <c r="MB23" t="b">
        <f t="shared" si="248"/>
        <v>0</v>
      </c>
      <c r="MC23" t="b">
        <f t="shared" si="249"/>
        <v>0</v>
      </c>
      <c r="MD23">
        <f t="shared" ca="1" si="250"/>
        <v>0</v>
      </c>
      <c r="ME23" s="6">
        <f t="shared" ca="1" si="251"/>
        <v>1</v>
      </c>
    </row>
    <row r="24" spans="1:343" x14ac:dyDescent="0.2">
      <c r="A24" s="104" t="s">
        <v>232</v>
      </c>
      <c r="B24">
        <f>MATCH(B$2,Spieltage!$C$303:$C$311,0)+302</f>
        <v>310</v>
      </c>
      <c r="C24" t="e">
        <f>MATCH(B$2,Spieltage!$E$303:$E$311,0)+302</f>
        <v>#N/A</v>
      </c>
      <c r="D24">
        <f t="shared" si="0"/>
        <v>310</v>
      </c>
      <c r="E24">
        <f ca="1">INDIRECT("Spieltage!$F"&amp;'i2'!D24)</f>
        <v>0</v>
      </c>
      <c r="F24" s="35" t="s">
        <v>12</v>
      </c>
      <c r="G24" s="97">
        <f ca="1">INDIRECT("Spieltage!$H"&amp;'i2'!D24)</f>
        <v>0</v>
      </c>
      <c r="H24" t="str">
        <f t="shared" si="1"/>
        <v>H</v>
      </c>
      <c r="I24">
        <f t="shared" si="2"/>
        <v>1</v>
      </c>
      <c r="J24" t="b">
        <f t="shared" ca="1" si="3"/>
        <v>0</v>
      </c>
      <c r="K24" t="b">
        <f t="shared" ca="1" si="4"/>
        <v>1</v>
      </c>
      <c r="L24" t="b">
        <f t="shared" ca="1" si="5"/>
        <v>0</v>
      </c>
      <c r="M24">
        <f t="shared" si="6"/>
        <v>0</v>
      </c>
      <c r="N24">
        <f t="shared" si="7"/>
        <v>0</v>
      </c>
      <c r="O24">
        <f t="shared" si="8"/>
        <v>0</v>
      </c>
      <c r="P24">
        <f t="shared" ca="1" si="9"/>
        <v>0</v>
      </c>
      <c r="Q24">
        <f t="shared" ca="1" si="10"/>
        <v>0</v>
      </c>
      <c r="R24">
        <f t="shared" ca="1" si="11"/>
        <v>1</v>
      </c>
      <c r="S24" t="b">
        <f t="shared" si="12"/>
        <v>0</v>
      </c>
      <c r="T24" s="6" t="b">
        <f t="shared" si="13"/>
        <v>0</v>
      </c>
      <c r="U24" t="e">
        <f>MATCH(U$2,Spieltage!$C$303:$C$311,0)+302</f>
        <v>#N/A</v>
      </c>
      <c r="V24">
        <f>MATCH(U$2,Spieltage!$E$303:$E$311,0)+302</f>
        <v>306</v>
      </c>
      <c r="W24">
        <f t="shared" si="14"/>
        <v>306</v>
      </c>
      <c r="X24">
        <f ca="1">INDIRECT("Spieltage!$F"&amp;'i2'!W24)</f>
        <v>0</v>
      </c>
      <c r="Y24" s="35" t="s">
        <v>12</v>
      </c>
      <c r="Z24" s="97">
        <f ca="1">INDIRECT("Spieltage!$H"&amp;'i2'!W24)</f>
        <v>0</v>
      </c>
      <c r="AA24" t="str">
        <f t="shared" si="15"/>
        <v>A</v>
      </c>
      <c r="AB24">
        <f t="shared" si="16"/>
        <v>2</v>
      </c>
      <c r="AC24">
        <f t="shared" si="17"/>
        <v>0</v>
      </c>
      <c r="AD24">
        <f t="shared" si="18"/>
        <v>0</v>
      </c>
      <c r="AE24">
        <f t="shared" si="19"/>
        <v>0</v>
      </c>
      <c r="AF24" t="b">
        <f t="shared" ca="1" si="20"/>
        <v>0</v>
      </c>
      <c r="AG24" t="b">
        <f t="shared" ca="1" si="21"/>
        <v>1</v>
      </c>
      <c r="AH24" t="b">
        <f t="shared" ca="1" si="22"/>
        <v>0</v>
      </c>
      <c r="AI24">
        <f t="shared" ca="1" si="23"/>
        <v>0</v>
      </c>
      <c r="AJ24" t="b">
        <f t="shared" si="24"/>
        <v>0</v>
      </c>
      <c r="AK24" t="b">
        <f t="shared" si="25"/>
        <v>0</v>
      </c>
      <c r="AL24">
        <f t="shared" ca="1" si="26"/>
        <v>0</v>
      </c>
      <c r="AM24" s="6">
        <f t="shared" ca="1" si="27"/>
        <v>1</v>
      </c>
      <c r="AN24" t="e">
        <f>MATCH(AN$2,Spieltage!$C$303:$C$311,0)+302</f>
        <v>#N/A</v>
      </c>
      <c r="AO24">
        <f>MATCH(AN$2,Spieltage!$E$303:$E$311,0)+302</f>
        <v>303</v>
      </c>
      <c r="AP24">
        <f t="shared" si="28"/>
        <v>303</v>
      </c>
      <c r="AQ24">
        <f ca="1">INDIRECT("Spieltage!$F"&amp;'i2'!AP24)</f>
        <v>0</v>
      </c>
      <c r="AR24" s="35" t="s">
        <v>12</v>
      </c>
      <c r="AS24" s="97">
        <f ca="1">INDIRECT("Spieltage!$H"&amp;'i2'!AP24)</f>
        <v>0</v>
      </c>
      <c r="AT24" t="str">
        <f t="shared" si="29"/>
        <v>A</v>
      </c>
      <c r="AU24">
        <f t="shared" si="30"/>
        <v>2</v>
      </c>
      <c r="AV24">
        <f t="shared" si="31"/>
        <v>0</v>
      </c>
      <c r="AW24">
        <f t="shared" si="32"/>
        <v>0</v>
      </c>
      <c r="AX24">
        <f t="shared" si="33"/>
        <v>0</v>
      </c>
      <c r="AY24" t="b">
        <f t="shared" ca="1" si="34"/>
        <v>0</v>
      </c>
      <c r="AZ24" t="b">
        <f t="shared" ca="1" si="35"/>
        <v>1</v>
      </c>
      <c r="BA24" t="b">
        <f t="shared" ca="1" si="36"/>
        <v>0</v>
      </c>
      <c r="BB24">
        <f t="shared" ca="1" si="37"/>
        <v>0</v>
      </c>
      <c r="BC24" t="b">
        <f t="shared" si="38"/>
        <v>0</v>
      </c>
      <c r="BD24" t="b">
        <f t="shared" si="39"/>
        <v>0</v>
      </c>
      <c r="BE24">
        <f t="shared" ca="1" si="40"/>
        <v>0</v>
      </c>
      <c r="BF24" s="6">
        <f t="shared" ca="1" si="41"/>
        <v>1</v>
      </c>
      <c r="BG24" t="e">
        <f>MATCH(BG$2,Spieltage!$C$303:$C$311,0)+302</f>
        <v>#N/A</v>
      </c>
      <c r="BH24">
        <f>MATCH(BG$2,Spieltage!$E$303:$E$311,0)+302</f>
        <v>310</v>
      </c>
      <c r="BI24">
        <f t="shared" si="42"/>
        <v>310</v>
      </c>
      <c r="BJ24">
        <f ca="1">INDIRECT("Spieltage!$F"&amp;'i2'!BI24)</f>
        <v>0</v>
      </c>
      <c r="BK24" s="35" t="s">
        <v>12</v>
      </c>
      <c r="BL24" s="97">
        <f ca="1">INDIRECT("Spieltage!$H"&amp;'i2'!BI24)</f>
        <v>0</v>
      </c>
      <c r="BM24" t="str">
        <f t="shared" si="43"/>
        <v>A</v>
      </c>
      <c r="BN24">
        <f t="shared" si="44"/>
        <v>2</v>
      </c>
      <c r="BO24">
        <f t="shared" si="45"/>
        <v>0</v>
      </c>
      <c r="BP24">
        <f t="shared" si="46"/>
        <v>0</v>
      </c>
      <c r="BQ24">
        <f t="shared" si="47"/>
        <v>0</v>
      </c>
      <c r="BR24" t="b">
        <f t="shared" ca="1" si="48"/>
        <v>0</v>
      </c>
      <c r="BS24" t="b">
        <f t="shared" ca="1" si="49"/>
        <v>1</v>
      </c>
      <c r="BT24" t="b">
        <f t="shared" ca="1" si="50"/>
        <v>0</v>
      </c>
      <c r="BU24">
        <f t="shared" ca="1" si="51"/>
        <v>0</v>
      </c>
      <c r="BV24" t="b">
        <f t="shared" si="52"/>
        <v>0</v>
      </c>
      <c r="BW24" t="b">
        <f t="shared" si="53"/>
        <v>0</v>
      </c>
      <c r="BX24">
        <f t="shared" ca="1" si="54"/>
        <v>0</v>
      </c>
      <c r="BY24" s="6">
        <f t="shared" ca="1" si="55"/>
        <v>1</v>
      </c>
      <c r="BZ24" t="e">
        <f>MATCH(BZ$2,Spieltage!$C$303:$C$311,0)+302</f>
        <v>#N/A</v>
      </c>
      <c r="CA24">
        <f>MATCH(BZ$2,Spieltage!$E$303:$E$311,0)+302</f>
        <v>304</v>
      </c>
      <c r="CB24">
        <f t="shared" si="56"/>
        <v>304</v>
      </c>
      <c r="CC24">
        <f ca="1">INDIRECT("Spieltage!$F"&amp;'i2'!CB24)</f>
        <v>0</v>
      </c>
      <c r="CD24" s="35" t="s">
        <v>12</v>
      </c>
      <c r="CE24" s="97">
        <f ca="1">INDIRECT("Spieltage!$H"&amp;'i2'!CB24)</f>
        <v>0</v>
      </c>
      <c r="CF24" t="str">
        <f t="shared" si="57"/>
        <v>A</v>
      </c>
      <c r="CG24">
        <f t="shared" si="58"/>
        <v>2</v>
      </c>
      <c r="CH24">
        <f t="shared" si="59"/>
        <v>0</v>
      </c>
      <c r="CI24">
        <f t="shared" si="60"/>
        <v>0</v>
      </c>
      <c r="CJ24">
        <f t="shared" si="61"/>
        <v>0</v>
      </c>
      <c r="CK24" t="b">
        <f t="shared" ca="1" si="62"/>
        <v>0</v>
      </c>
      <c r="CL24" t="b">
        <f t="shared" ca="1" si="63"/>
        <v>1</v>
      </c>
      <c r="CM24" t="b">
        <f t="shared" ca="1" si="64"/>
        <v>0</v>
      </c>
      <c r="CN24">
        <f t="shared" ca="1" si="65"/>
        <v>0</v>
      </c>
      <c r="CO24" t="b">
        <f t="shared" si="66"/>
        <v>0</v>
      </c>
      <c r="CP24" t="b">
        <f t="shared" si="67"/>
        <v>0</v>
      </c>
      <c r="CQ24">
        <f t="shared" ca="1" si="68"/>
        <v>0</v>
      </c>
      <c r="CR24" s="6">
        <f t="shared" ca="1" si="69"/>
        <v>1</v>
      </c>
      <c r="CS24" t="e">
        <f>MATCH(CS$2,Spieltage!$C$303:$C$311,0)+302</f>
        <v>#N/A</v>
      </c>
      <c r="CT24">
        <f>MATCH(CS$2,Spieltage!$E$303:$E$311,0)+302</f>
        <v>307</v>
      </c>
      <c r="CU24">
        <f t="shared" si="70"/>
        <v>307</v>
      </c>
      <c r="CV24">
        <f ca="1">INDIRECT("Spieltage!$F"&amp;'i2'!CU24)</f>
        <v>0</v>
      </c>
      <c r="CW24" s="35" t="s">
        <v>12</v>
      </c>
      <c r="CX24" s="97">
        <f ca="1">INDIRECT("Spieltage!$H"&amp;'i2'!CU24)</f>
        <v>0</v>
      </c>
      <c r="CY24" t="str">
        <f t="shared" si="71"/>
        <v>A</v>
      </c>
      <c r="CZ24">
        <f t="shared" si="72"/>
        <v>2</v>
      </c>
      <c r="DA24">
        <f t="shared" si="73"/>
        <v>0</v>
      </c>
      <c r="DB24">
        <f t="shared" si="74"/>
        <v>0</v>
      </c>
      <c r="DC24">
        <f t="shared" si="75"/>
        <v>0</v>
      </c>
      <c r="DD24" t="b">
        <f t="shared" ca="1" si="76"/>
        <v>0</v>
      </c>
      <c r="DE24" t="b">
        <f t="shared" ca="1" si="77"/>
        <v>1</v>
      </c>
      <c r="DF24" t="b">
        <f t="shared" ca="1" si="78"/>
        <v>0</v>
      </c>
      <c r="DG24">
        <f t="shared" ca="1" si="79"/>
        <v>0</v>
      </c>
      <c r="DH24" t="b">
        <f t="shared" si="80"/>
        <v>0</v>
      </c>
      <c r="DI24" t="b">
        <f t="shared" si="81"/>
        <v>0</v>
      </c>
      <c r="DJ24">
        <f t="shared" ca="1" si="82"/>
        <v>0</v>
      </c>
      <c r="DK24" s="6">
        <f t="shared" ca="1" si="83"/>
        <v>1</v>
      </c>
      <c r="DL24">
        <f>MATCH(DL$2,Spieltage!$C$303:$C$311,0)+302</f>
        <v>307</v>
      </c>
      <c r="DM24" t="e">
        <f>MATCH(DL$2,Spieltage!$E$303:$E$311,0)+302</f>
        <v>#N/A</v>
      </c>
      <c r="DN24">
        <f t="shared" si="84"/>
        <v>307</v>
      </c>
      <c r="DO24">
        <f ca="1">INDIRECT("Spieltage!$F"&amp;'i2'!DN24)</f>
        <v>0</v>
      </c>
      <c r="DP24" s="35" t="s">
        <v>12</v>
      </c>
      <c r="DQ24" s="97">
        <f ca="1">INDIRECT("Spieltage!$H"&amp;'i2'!DN24)</f>
        <v>0</v>
      </c>
      <c r="DR24" t="str">
        <f t="shared" si="85"/>
        <v>H</v>
      </c>
      <c r="DS24">
        <f t="shared" si="86"/>
        <v>1</v>
      </c>
      <c r="DT24" t="b">
        <f t="shared" ca="1" si="87"/>
        <v>0</v>
      </c>
      <c r="DU24" t="b">
        <f t="shared" ca="1" si="88"/>
        <v>1</v>
      </c>
      <c r="DV24" t="b">
        <f t="shared" ca="1" si="89"/>
        <v>0</v>
      </c>
      <c r="DW24">
        <f t="shared" si="90"/>
        <v>0</v>
      </c>
      <c r="DX24">
        <f t="shared" si="91"/>
        <v>0</v>
      </c>
      <c r="DY24">
        <f t="shared" si="92"/>
        <v>0</v>
      </c>
      <c r="DZ24">
        <f t="shared" ca="1" si="93"/>
        <v>0</v>
      </c>
      <c r="EA24">
        <f t="shared" ca="1" si="94"/>
        <v>0</v>
      </c>
      <c r="EB24">
        <f t="shared" ca="1" si="95"/>
        <v>1</v>
      </c>
      <c r="EC24" t="b">
        <f t="shared" si="96"/>
        <v>0</v>
      </c>
      <c r="ED24" s="6" t="b">
        <f t="shared" si="97"/>
        <v>0</v>
      </c>
      <c r="EE24" t="e">
        <f>MATCH(EE$2,Spieltage!$C$303:$C$311,0)+302</f>
        <v>#N/A</v>
      </c>
      <c r="EF24">
        <f>MATCH(EE$2,Spieltage!$E$303:$E$311,0)+302</f>
        <v>309</v>
      </c>
      <c r="EG24">
        <f t="shared" si="98"/>
        <v>309</v>
      </c>
      <c r="EH24">
        <f ca="1">INDIRECT("Spieltage!$F"&amp;'i2'!EG24)</f>
        <v>0</v>
      </c>
      <c r="EI24" s="35" t="s">
        <v>12</v>
      </c>
      <c r="EJ24" s="97">
        <f ca="1">INDIRECT("Spieltage!$H"&amp;'i2'!EG24)</f>
        <v>0</v>
      </c>
      <c r="EK24" t="str">
        <f t="shared" si="99"/>
        <v>A</v>
      </c>
      <c r="EL24">
        <f t="shared" si="100"/>
        <v>2</v>
      </c>
      <c r="EM24">
        <f t="shared" si="101"/>
        <v>0</v>
      </c>
      <c r="EN24">
        <f t="shared" si="102"/>
        <v>0</v>
      </c>
      <c r="EO24">
        <f t="shared" si="103"/>
        <v>0</v>
      </c>
      <c r="EP24" t="b">
        <f t="shared" ca="1" si="104"/>
        <v>0</v>
      </c>
      <c r="EQ24" t="b">
        <f t="shared" ca="1" si="105"/>
        <v>1</v>
      </c>
      <c r="ER24" t="b">
        <f t="shared" ca="1" si="106"/>
        <v>0</v>
      </c>
      <c r="ES24">
        <f t="shared" ca="1" si="107"/>
        <v>0</v>
      </c>
      <c r="ET24" t="b">
        <f t="shared" si="108"/>
        <v>0</v>
      </c>
      <c r="EU24" t="b">
        <f t="shared" si="109"/>
        <v>0</v>
      </c>
      <c r="EV24">
        <f t="shared" ca="1" si="110"/>
        <v>0</v>
      </c>
      <c r="EW24" s="6">
        <f t="shared" ca="1" si="111"/>
        <v>1</v>
      </c>
      <c r="EX24">
        <f>MATCH(EX$2,Spieltage!$C$303:$C$311,0)+302</f>
        <v>309</v>
      </c>
      <c r="EY24" t="e">
        <f>MATCH(EX$2,Spieltage!$E$303:$E$311,0)+302</f>
        <v>#N/A</v>
      </c>
      <c r="EZ24">
        <f t="shared" si="112"/>
        <v>309</v>
      </c>
      <c r="FA24">
        <f ca="1">INDIRECT("Spieltage!$F"&amp;'i2'!EZ24)</f>
        <v>0</v>
      </c>
      <c r="FB24" s="35" t="s">
        <v>12</v>
      </c>
      <c r="FC24" s="97">
        <f ca="1">INDIRECT("Spieltage!$H"&amp;'i2'!EZ24)</f>
        <v>0</v>
      </c>
      <c r="FD24" t="str">
        <f t="shared" si="113"/>
        <v>H</v>
      </c>
      <c r="FE24">
        <f t="shared" si="114"/>
        <v>1</v>
      </c>
      <c r="FF24" t="b">
        <f t="shared" ca="1" si="115"/>
        <v>0</v>
      </c>
      <c r="FG24" t="b">
        <f t="shared" ca="1" si="116"/>
        <v>1</v>
      </c>
      <c r="FH24" t="b">
        <f t="shared" ca="1" si="117"/>
        <v>0</v>
      </c>
      <c r="FI24">
        <f t="shared" si="118"/>
        <v>0</v>
      </c>
      <c r="FJ24">
        <f t="shared" si="119"/>
        <v>0</v>
      </c>
      <c r="FK24">
        <f t="shared" si="120"/>
        <v>0</v>
      </c>
      <c r="FL24">
        <f t="shared" ca="1" si="121"/>
        <v>0</v>
      </c>
      <c r="FM24">
        <f t="shared" ca="1" si="122"/>
        <v>0</v>
      </c>
      <c r="FN24">
        <f t="shared" ca="1" si="123"/>
        <v>1</v>
      </c>
      <c r="FO24" t="b">
        <f t="shared" si="124"/>
        <v>0</v>
      </c>
      <c r="FP24" s="6" t="b">
        <f t="shared" si="125"/>
        <v>0</v>
      </c>
      <c r="FQ24">
        <f>MATCH(FQ$2,Spieltage!$C$303:$C$311,0)+302</f>
        <v>306</v>
      </c>
      <c r="FR24" t="e">
        <f>MATCH(FQ$2,Spieltage!$E$303:$E$311,0)+302</f>
        <v>#N/A</v>
      </c>
      <c r="FS24">
        <f t="shared" si="126"/>
        <v>306</v>
      </c>
      <c r="FT24">
        <f ca="1">INDIRECT("Spieltage!$F"&amp;'i2'!FS24)</f>
        <v>0</v>
      </c>
      <c r="FU24" s="35" t="s">
        <v>12</v>
      </c>
      <c r="FV24" s="97">
        <f ca="1">INDIRECT("Spieltage!$H"&amp;'i2'!FS24)</f>
        <v>0</v>
      </c>
      <c r="FW24" t="str">
        <f t="shared" si="127"/>
        <v>H</v>
      </c>
      <c r="FX24">
        <f t="shared" si="128"/>
        <v>1</v>
      </c>
      <c r="FY24" t="b">
        <f t="shared" ca="1" si="129"/>
        <v>0</v>
      </c>
      <c r="FZ24" t="b">
        <f t="shared" ca="1" si="130"/>
        <v>1</v>
      </c>
      <c r="GA24" t="b">
        <f t="shared" ca="1" si="131"/>
        <v>0</v>
      </c>
      <c r="GB24">
        <f t="shared" si="132"/>
        <v>0</v>
      </c>
      <c r="GC24">
        <f t="shared" si="133"/>
        <v>0</v>
      </c>
      <c r="GD24">
        <f t="shared" si="134"/>
        <v>0</v>
      </c>
      <c r="GE24">
        <f t="shared" ca="1" si="135"/>
        <v>0</v>
      </c>
      <c r="GF24">
        <f t="shared" ca="1" si="136"/>
        <v>0</v>
      </c>
      <c r="GG24">
        <f t="shared" ca="1" si="137"/>
        <v>1</v>
      </c>
      <c r="GH24" t="b">
        <f t="shared" si="138"/>
        <v>0</v>
      </c>
      <c r="GI24" s="6" t="b">
        <f t="shared" si="139"/>
        <v>0</v>
      </c>
      <c r="GJ24">
        <f>MATCH(GJ$2,Spieltage!$C$303:$C$311,0)+302</f>
        <v>303</v>
      </c>
      <c r="GK24" t="e">
        <f>MATCH(GJ$2,Spieltage!$E$303:$E$311,0)+302</f>
        <v>#N/A</v>
      </c>
      <c r="GL24">
        <f t="shared" si="140"/>
        <v>303</v>
      </c>
      <c r="GM24">
        <f ca="1">INDIRECT("Spieltage!$F"&amp;'i2'!GL24)</f>
        <v>0</v>
      </c>
      <c r="GN24" s="35" t="s">
        <v>12</v>
      </c>
      <c r="GO24" s="97">
        <f ca="1">INDIRECT("Spieltage!$H"&amp;'i2'!GL24)</f>
        <v>0</v>
      </c>
      <c r="GP24" t="str">
        <f t="shared" si="141"/>
        <v>H</v>
      </c>
      <c r="GQ24">
        <f t="shared" si="142"/>
        <v>1</v>
      </c>
      <c r="GR24" t="b">
        <f t="shared" ca="1" si="143"/>
        <v>0</v>
      </c>
      <c r="GS24" t="b">
        <f t="shared" ca="1" si="144"/>
        <v>1</v>
      </c>
      <c r="GT24" t="b">
        <f t="shared" ca="1" si="145"/>
        <v>0</v>
      </c>
      <c r="GU24">
        <f t="shared" si="146"/>
        <v>0</v>
      </c>
      <c r="GV24">
        <f t="shared" si="147"/>
        <v>0</v>
      </c>
      <c r="GW24">
        <f t="shared" si="148"/>
        <v>0</v>
      </c>
      <c r="GX24">
        <f t="shared" ca="1" si="149"/>
        <v>0</v>
      </c>
      <c r="GY24">
        <f t="shared" ca="1" si="150"/>
        <v>0</v>
      </c>
      <c r="GZ24">
        <f t="shared" ca="1" si="151"/>
        <v>1</v>
      </c>
      <c r="HA24" t="b">
        <f t="shared" si="152"/>
        <v>0</v>
      </c>
      <c r="HB24" s="6" t="b">
        <f t="shared" si="153"/>
        <v>0</v>
      </c>
      <c r="HC24" t="e">
        <f>MATCH(HC$2,Spieltage!$C$303:$C$311,0)+302</f>
        <v>#N/A</v>
      </c>
      <c r="HD24">
        <f>MATCH(HC$2,Spieltage!$E$303:$E$311,0)+302</f>
        <v>311</v>
      </c>
      <c r="HE24">
        <f t="shared" si="154"/>
        <v>311</v>
      </c>
      <c r="HF24">
        <f ca="1">INDIRECT("Spieltage!$F"&amp;'i2'!HE24)</f>
        <v>0</v>
      </c>
      <c r="HG24" s="35" t="s">
        <v>12</v>
      </c>
      <c r="HH24" s="97">
        <f ca="1">INDIRECT("Spieltage!$H"&amp;'i2'!HE24)</f>
        <v>0</v>
      </c>
      <c r="HI24" t="str">
        <f t="shared" si="155"/>
        <v>A</v>
      </c>
      <c r="HJ24">
        <f t="shared" si="156"/>
        <v>2</v>
      </c>
      <c r="HK24">
        <f t="shared" si="157"/>
        <v>0</v>
      </c>
      <c r="HL24">
        <f t="shared" si="158"/>
        <v>0</v>
      </c>
      <c r="HM24">
        <f t="shared" si="159"/>
        <v>0</v>
      </c>
      <c r="HN24" t="b">
        <f t="shared" ca="1" si="160"/>
        <v>0</v>
      </c>
      <c r="HO24" t="b">
        <f t="shared" ca="1" si="161"/>
        <v>1</v>
      </c>
      <c r="HP24" t="b">
        <f t="shared" ca="1" si="162"/>
        <v>0</v>
      </c>
      <c r="HQ24">
        <f t="shared" ca="1" si="163"/>
        <v>0</v>
      </c>
      <c r="HR24" t="b">
        <f t="shared" si="164"/>
        <v>0</v>
      </c>
      <c r="HS24" t="b">
        <f t="shared" si="165"/>
        <v>0</v>
      </c>
      <c r="HT24">
        <f t="shared" ca="1" si="166"/>
        <v>0</v>
      </c>
      <c r="HU24" s="6">
        <f t="shared" ca="1" si="167"/>
        <v>1</v>
      </c>
      <c r="HV24">
        <f>MATCH(HV$2,Spieltage!$C$303:$C$311,0)+302</f>
        <v>304</v>
      </c>
      <c r="HW24" t="e">
        <f>MATCH(HV$2,Spieltage!$E$303:$E$311,0)+302</f>
        <v>#N/A</v>
      </c>
      <c r="HX24">
        <f t="shared" si="168"/>
        <v>304</v>
      </c>
      <c r="HY24">
        <f ca="1">INDIRECT("Spieltage!$F"&amp;'i2'!HX24)</f>
        <v>0</v>
      </c>
      <c r="HZ24" s="35" t="s">
        <v>12</v>
      </c>
      <c r="IA24" s="97">
        <f ca="1">INDIRECT("Spieltage!$H"&amp;'i2'!HX24)</f>
        <v>0</v>
      </c>
      <c r="IB24" t="str">
        <f t="shared" si="169"/>
        <v>H</v>
      </c>
      <c r="IC24">
        <f t="shared" si="170"/>
        <v>1</v>
      </c>
      <c r="ID24" t="b">
        <f t="shared" ca="1" si="171"/>
        <v>0</v>
      </c>
      <c r="IE24" t="b">
        <f t="shared" ca="1" si="172"/>
        <v>1</v>
      </c>
      <c r="IF24" t="b">
        <f t="shared" ca="1" si="173"/>
        <v>0</v>
      </c>
      <c r="IG24">
        <f t="shared" si="174"/>
        <v>0</v>
      </c>
      <c r="IH24">
        <f t="shared" si="175"/>
        <v>0</v>
      </c>
      <c r="II24">
        <f t="shared" si="176"/>
        <v>0</v>
      </c>
      <c r="IJ24">
        <f t="shared" ca="1" si="177"/>
        <v>0</v>
      </c>
      <c r="IK24">
        <f t="shared" ca="1" si="178"/>
        <v>0</v>
      </c>
      <c r="IL24">
        <f t="shared" ca="1" si="179"/>
        <v>1</v>
      </c>
      <c r="IM24" t="b">
        <f t="shared" si="180"/>
        <v>0</v>
      </c>
      <c r="IN24" s="6" t="b">
        <f t="shared" si="181"/>
        <v>0</v>
      </c>
      <c r="IO24" t="e">
        <f>MATCH(IO$2,Spieltage!$C$303:$C$311,0)+302</f>
        <v>#N/A</v>
      </c>
      <c r="IP24">
        <f>MATCH(IO$2,Spieltage!$E$303:$E$311,0)+302</f>
        <v>308</v>
      </c>
      <c r="IQ24">
        <f t="shared" si="182"/>
        <v>308</v>
      </c>
      <c r="IR24">
        <f ca="1">INDIRECT("Spieltage!$F"&amp;'i2'!IQ24)</f>
        <v>0</v>
      </c>
      <c r="IS24" s="35" t="s">
        <v>12</v>
      </c>
      <c r="IT24" s="97">
        <f ca="1">INDIRECT("Spieltage!$H"&amp;'i2'!IQ24)</f>
        <v>0</v>
      </c>
      <c r="IU24" t="str">
        <f t="shared" si="183"/>
        <v>A</v>
      </c>
      <c r="IV24">
        <f t="shared" si="184"/>
        <v>2</v>
      </c>
      <c r="IW24">
        <f t="shared" si="185"/>
        <v>0</v>
      </c>
      <c r="IX24">
        <f t="shared" si="186"/>
        <v>0</v>
      </c>
      <c r="IY24">
        <f t="shared" si="187"/>
        <v>0</v>
      </c>
      <c r="IZ24" t="b">
        <f t="shared" ca="1" si="188"/>
        <v>0</v>
      </c>
      <c r="JA24" t="b">
        <f t="shared" ca="1" si="189"/>
        <v>1</v>
      </c>
      <c r="JB24" t="b">
        <f t="shared" ca="1" si="190"/>
        <v>0</v>
      </c>
      <c r="JC24">
        <f t="shared" ca="1" si="191"/>
        <v>0</v>
      </c>
      <c r="JD24" t="b">
        <f t="shared" si="192"/>
        <v>0</v>
      </c>
      <c r="JE24" t="b">
        <f t="shared" si="193"/>
        <v>0</v>
      </c>
      <c r="JF24">
        <f t="shared" ca="1" si="194"/>
        <v>0</v>
      </c>
      <c r="JG24" s="6">
        <f t="shared" ca="1" si="195"/>
        <v>1</v>
      </c>
      <c r="JH24">
        <f>MATCH(JH$2,Spieltage!$C$303:$C$311,0)+302</f>
        <v>308</v>
      </c>
      <c r="JI24" t="e">
        <f>MATCH(JH$2,Spieltage!$E$303:$E$311,0)+302</f>
        <v>#N/A</v>
      </c>
      <c r="JJ24">
        <f t="shared" si="196"/>
        <v>308</v>
      </c>
      <c r="JK24">
        <f ca="1">INDIRECT("Spieltage!$F"&amp;'i2'!JJ24)</f>
        <v>0</v>
      </c>
      <c r="JL24" s="35" t="s">
        <v>12</v>
      </c>
      <c r="JM24" s="97">
        <f ca="1">INDIRECT("Spieltage!$H"&amp;'i2'!JJ24)</f>
        <v>0</v>
      </c>
      <c r="JN24" t="str">
        <f t="shared" si="197"/>
        <v>H</v>
      </c>
      <c r="JO24">
        <f t="shared" si="198"/>
        <v>1</v>
      </c>
      <c r="JP24" t="b">
        <f t="shared" ca="1" si="199"/>
        <v>0</v>
      </c>
      <c r="JQ24" t="b">
        <f t="shared" ca="1" si="200"/>
        <v>1</v>
      </c>
      <c r="JR24" t="b">
        <f t="shared" ca="1" si="201"/>
        <v>0</v>
      </c>
      <c r="JS24">
        <f t="shared" si="202"/>
        <v>0</v>
      </c>
      <c r="JT24">
        <f t="shared" si="203"/>
        <v>0</v>
      </c>
      <c r="JU24">
        <f t="shared" si="204"/>
        <v>0</v>
      </c>
      <c r="JV24">
        <f t="shared" ca="1" si="205"/>
        <v>0</v>
      </c>
      <c r="JW24">
        <f t="shared" ca="1" si="206"/>
        <v>0</v>
      </c>
      <c r="JX24">
        <f t="shared" ca="1" si="207"/>
        <v>1</v>
      </c>
      <c r="JY24" t="b">
        <f t="shared" si="208"/>
        <v>0</v>
      </c>
      <c r="JZ24" s="6" t="b">
        <f t="shared" si="209"/>
        <v>0</v>
      </c>
      <c r="KA24" t="e">
        <f>MATCH(KA$2,Spieltage!$C$303:$C$311,0)+302</f>
        <v>#N/A</v>
      </c>
      <c r="KB24">
        <f>MATCH(KA$2,Spieltage!$E$303:$E$311,0)+302</f>
        <v>305</v>
      </c>
      <c r="KC24">
        <f t="shared" si="210"/>
        <v>305</v>
      </c>
      <c r="KD24">
        <f ca="1">INDIRECT("Spieltage!$F"&amp;'i2'!KC24)</f>
        <v>0</v>
      </c>
      <c r="KE24" s="35" t="s">
        <v>12</v>
      </c>
      <c r="KF24" s="97">
        <f ca="1">INDIRECT("Spieltage!$H"&amp;'i2'!KC24)</f>
        <v>0</v>
      </c>
      <c r="KG24" t="str">
        <f t="shared" si="211"/>
        <v>A</v>
      </c>
      <c r="KH24">
        <f t="shared" si="212"/>
        <v>2</v>
      </c>
      <c r="KI24">
        <f t="shared" si="213"/>
        <v>0</v>
      </c>
      <c r="KJ24">
        <f t="shared" si="214"/>
        <v>0</v>
      </c>
      <c r="KK24">
        <f t="shared" si="215"/>
        <v>0</v>
      </c>
      <c r="KL24" t="b">
        <f t="shared" ca="1" si="216"/>
        <v>0</v>
      </c>
      <c r="KM24" t="b">
        <f t="shared" ca="1" si="217"/>
        <v>1</v>
      </c>
      <c r="KN24" t="b">
        <f t="shared" ca="1" si="218"/>
        <v>0</v>
      </c>
      <c r="KO24">
        <f t="shared" ca="1" si="219"/>
        <v>0</v>
      </c>
      <c r="KP24" t="b">
        <f t="shared" si="220"/>
        <v>0</v>
      </c>
      <c r="KQ24" t="b">
        <f t="shared" si="221"/>
        <v>0</v>
      </c>
      <c r="KR24">
        <f t="shared" ca="1" si="222"/>
        <v>0</v>
      </c>
      <c r="KS24" s="6">
        <f t="shared" ca="1" si="223"/>
        <v>1</v>
      </c>
      <c r="KT24">
        <f>MATCH(KT$2,Spieltage!$C$303:$C$311,0)+302</f>
        <v>311</v>
      </c>
      <c r="KU24" t="e">
        <f>MATCH(KT$2,Spieltage!$E$303:$E$311,0)+302</f>
        <v>#N/A</v>
      </c>
      <c r="KV24">
        <f t="shared" si="224"/>
        <v>311</v>
      </c>
      <c r="KW24">
        <f ca="1">INDIRECT("Spieltage!$F"&amp;'i2'!KV24)</f>
        <v>0</v>
      </c>
      <c r="KX24" s="35" t="s">
        <v>12</v>
      </c>
      <c r="KY24" s="97">
        <f ca="1">INDIRECT("Spieltage!$H"&amp;'i2'!KV24)</f>
        <v>0</v>
      </c>
      <c r="KZ24" t="str">
        <f t="shared" si="225"/>
        <v>H</v>
      </c>
      <c r="LA24">
        <f t="shared" si="226"/>
        <v>1</v>
      </c>
      <c r="LB24" t="b">
        <f t="shared" ca="1" si="227"/>
        <v>0</v>
      </c>
      <c r="LC24" t="b">
        <f t="shared" ca="1" si="228"/>
        <v>1</v>
      </c>
      <c r="LD24" t="b">
        <f t="shared" ca="1" si="229"/>
        <v>0</v>
      </c>
      <c r="LE24">
        <f t="shared" si="230"/>
        <v>0</v>
      </c>
      <c r="LF24">
        <f t="shared" si="231"/>
        <v>0</v>
      </c>
      <c r="LG24">
        <f t="shared" si="232"/>
        <v>0</v>
      </c>
      <c r="LH24">
        <f t="shared" ca="1" si="233"/>
        <v>0</v>
      </c>
      <c r="LI24">
        <f t="shared" ca="1" si="234"/>
        <v>0</v>
      </c>
      <c r="LJ24">
        <f t="shared" ca="1" si="235"/>
        <v>1</v>
      </c>
      <c r="LK24" t="b">
        <f t="shared" si="236"/>
        <v>0</v>
      </c>
      <c r="LL24" s="6" t="b">
        <f t="shared" si="237"/>
        <v>0</v>
      </c>
      <c r="LM24">
        <f>MATCH(LM$2,Spieltage!$C$303:$C$311,0)+302</f>
        <v>305</v>
      </c>
      <c r="LN24" t="e">
        <f>MATCH(LM$2,Spieltage!$E$303:$E$311,0)+302</f>
        <v>#N/A</v>
      </c>
      <c r="LO24">
        <f t="shared" si="238"/>
        <v>305</v>
      </c>
      <c r="LP24">
        <f ca="1">INDIRECT("Spieltage!$F"&amp;'i2'!LO24)</f>
        <v>0</v>
      </c>
      <c r="LQ24" s="35" t="s">
        <v>12</v>
      </c>
      <c r="LR24" s="97">
        <f ca="1">INDIRECT("Spieltage!$H"&amp;'i2'!LO24)</f>
        <v>0</v>
      </c>
      <c r="LS24" t="str">
        <f t="shared" si="239"/>
        <v>H</v>
      </c>
      <c r="LT24">
        <f t="shared" si="240"/>
        <v>1</v>
      </c>
      <c r="LU24" t="b">
        <f t="shared" ca="1" si="241"/>
        <v>0</v>
      </c>
      <c r="LV24" t="b">
        <f t="shared" ca="1" si="242"/>
        <v>1</v>
      </c>
      <c r="LW24" t="b">
        <f t="shared" ca="1" si="243"/>
        <v>0</v>
      </c>
      <c r="LX24">
        <f t="shared" si="244"/>
        <v>0</v>
      </c>
      <c r="LY24">
        <f t="shared" si="245"/>
        <v>0</v>
      </c>
      <c r="LZ24">
        <f t="shared" si="246"/>
        <v>0</v>
      </c>
      <c r="MA24">
        <f t="shared" ca="1" si="247"/>
        <v>0</v>
      </c>
      <c r="MB24">
        <f t="shared" ca="1" si="248"/>
        <v>0</v>
      </c>
      <c r="MC24">
        <f t="shared" ca="1" si="249"/>
        <v>1</v>
      </c>
      <c r="MD24" t="b">
        <f t="shared" si="250"/>
        <v>0</v>
      </c>
      <c r="ME24" s="6" t="b">
        <f t="shared" si="251"/>
        <v>0</v>
      </c>
    </row>
    <row r="25" spans="1:343" x14ac:dyDescent="0.2">
      <c r="A25" s="104" t="s">
        <v>233</v>
      </c>
      <c r="B25" t="e">
        <f>MATCH(B$2,Spieltage!$C$318:$C$326,0)+317</f>
        <v>#N/A</v>
      </c>
      <c r="C25">
        <f>MATCH(B$2,Spieltage!$E$318:$E$326,0)+317</f>
        <v>318</v>
      </c>
      <c r="D25">
        <f t="shared" si="0"/>
        <v>318</v>
      </c>
      <c r="E25">
        <f ca="1">INDIRECT("Spieltage!$F"&amp;'i2'!D25)</f>
        <v>0</v>
      </c>
      <c r="F25" s="35" t="s">
        <v>12</v>
      </c>
      <c r="G25" s="97">
        <f ca="1">INDIRECT("Spieltage!$H"&amp;'i2'!D25)</f>
        <v>0</v>
      </c>
      <c r="H25" t="str">
        <f t="shared" si="1"/>
        <v>A</v>
      </c>
      <c r="I25">
        <f t="shared" si="2"/>
        <v>2</v>
      </c>
      <c r="J25">
        <f t="shared" si="3"/>
        <v>0</v>
      </c>
      <c r="K25">
        <f t="shared" si="4"/>
        <v>0</v>
      </c>
      <c r="L25">
        <f t="shared" si="5"/>
        <v>0</v>
      </c>
      <c r="M25" t="b">
        <f t="shared" ca="1" si="6"/>
        <v>0</v>
      </c>
      <c r="N25" t="b">
        <f t="shared" ca="1" si="7"/>
        <v>1</v>
      </c>
      <c r="O25" t="b">
        <f t="shared" ca="1" si="8"/>
        <v>0</v>
      </c>
      <c r="P25">
        <f t="shared" ca="1" si="9"/>
        <v>0</v>
      </c>
      <c r="Q25" t="b">
        <f t="shared" si="10"/>
        <v>0</v>
      </c>
      <c r="R25" t="b">
        <f t="shared" si="11"/>
        <v>0</v>
      </c>
      <c r="S25">
        <f t="shared" ca="1" si="12"/>
        <v>0</v>
      </c>
      <c r="T25" s="6">
        <f t="shared" ca="1" si="13"/>
        <v>1</v>
      </c>
      <c r="U25">
        <f>MATCH(U$2,Spieltage!$C$318:$C$326,0)+317</f>
        <v>322</v>
      </c>
      <c r="V25" t="e">
        <f>MATCH(U$2,Spieltage!$E$318:$E$326,0)+317</f>
        <v>#N/A</v>
      </c>
      <c r="W25">
        <f t="shared" si="14"/>
        <v>322</v>
      </c>
      <c r="X25">
        <f ca="1">INDIRECT("Spieltage!$F"&amp;'i2'!W25)</f>
        <v>0</v>
      </c>
      <c r="Y25" s="35" t="s">
        <v>12</v>
      </c>
      <c r="Z25" s="97">
        <f ca="1">INDIRECT("Spieltage!$H"&amp;'i2'!W25)</f>
        <v>0</v>
      </c>
      <c r="AA25" t="str">
        <f t="shared" si="15"/>
        <v>H</v>
      </c>
      <c r="AB25">
        <f t="shared" si="16"/>
        <v>1</v>
      </c>
      <c r="AC25" t="b">
        <f t="shared" ca="1" si="17"/>
        <v>0</v>
      </c>
      <c r="AD25" t="b">
        <f t="shared" ca="1" si="18"/>
        <v>1</v>
      </c>
      <c r="AE25" t="b">
        <f t="shared" ca="1" si="19"/>
        <v>0</v>
      </c>
      <c r="AF25">
        <f t="shared" si="20"/>
        <v>0</v>
      </c>
      <c r="AG25">
        <f t="shared" si="21"/>
        <v>0</v>
      </c>
      <c r="AH25">
        <f t="shared" si="22"/>
        <v>0</v>
      </c>
      <c r="AI25">
        <f t="shared" ca="1" si="23"/>
        <v>0</v>
      </c>
      <c r="AJ25">
        <f t="shared" ca="1" si="24"/>
        <v>0</v>
      </c>
      <c r="AK25">
        <f t="shared" ca="1" si="25"/>
        <v>1</v>
      </c>
      <c r="AL25" t="b">
        <f t="shared" si="26"/>
        <v>0</v>
      </c>
      <c r="AM25" s="6" t="b">
        <f t="shared" si="27"/>
        <v>0</v>
      </c>
      <c r="AN25">
        <f>MATCH(AN$2,Spieltage!$C$318:$C$326,0)+317</f>
        <v>324</v>
      </c>
      <c r="AO25" t="e">
        <f>MATCH(AN$2,Spieltage!$E$318:$E$326,0)+317</f>
        <v>#N/A</v>
      </c>
      <c r="AP25">
        <f t="shared" si="28"/>
        <v>324</v>
      </c>
      <c r="AQ25">
        <f ca="1">INDIRECT("Spieltage!$F"&amp;'i2'!AP25)</f>
        <v>0</v>
      </c>
      <c r="AR25" s="35" t="s">
        <v>12</v>
      </c>
      <c r="AS25" s="97">
        <f ca="1">INDIRECT("Spieltage!$H"&amp;'i2'!AP25)</f>
        <v>0</v>
      </c>
      <c r="AT25" t="str">
        <f t="shared" si="29"/>
        <v>H</v>
      </c>
      <c r="AU25">
        <f t="shared" si="30"/>
        <v>1</v>
      </c>
      <c r="AV25" t="b">
        <f t="shared" ca="1" si="31"/>
        <v>0</v>
      </c>
      <c r="AW25" t="b">
        <f t="shared" ca="1" si="32"/>
        <v>1</v>
      </c>
      <c r="AX25" t="b">
        <f t="shared" ca="1" si="33"/>
        <v>0</v>
      </c>
      <c r="AY25">
        <f t="shared" si="34"/>
        <v>0</v>
      </c>
      <c r="AZ25">
        <f t="shared" si="35"/>
        <v>0</v>
      </c>
      <c r="BA25">
        <f t="shared" si="36"/>
        <v>0</v>
      </c>
      <c r="BB25">
        <f t="shared" ca="1" si="37"/>
        <v>0</v>
      </c>
      <c r="BC25">
        <f t="shared" ca="1" si="38"/>
        <v>0</v>
      </c>
      <c r="BD25">
        <f t="shared" ca="1" si="39"/>
        <v>1</v>
      </c>
      <c r="BE25" t="b">
        <f t="shared" si="40"/>
        <v>0</v>
      </c>
      <c r="BF25" s="6" t="b">
        <f t="shared" si="41"/>
        <v>0</v>
      </c>
      <c r="BG25">
        <f>MATCH(BG$2,Spieltage!$C$318:$C$326,0)+317</f>
        <v>319</v>
      </c>
      <c r="BH25" t="e">
        <f>MATCH(BG$2,Spieltage!$E$318:$E$326,0)+317</f>
        <v>#N/A</v>
      </c>
      <c r="BI25">
        <f t="shared" si="42"/>
        <v>319</v>
      </c>
      <c r="BJ25">
        <f ca="1">INDIRECT("Spieltage!$F"&amp;'i2'!BI25)</f>
        <v>0</v>
      </c>
      <c r="BK25" s="35" t="s">
        <v>12</v>
      </c>
      <c r="BL25" s="97">
        <f ca="1">INDIRECT("Spieltage!$H"&amp;'i2'!BI25)</f>
        <v>0</v>
      </c>
      <c r="BM25" t="str">
        <f t="shared" si="43"/>
        <v>H</v>
      </c>
      <c r="BN25">
        <f t="shared" si="44"/>
        <v>1</v>
      </c>
      <c r="BO25" t="b">
        <f t="shared" ca="1" si="45"/>
        <v>0</v>
      </c>
      <c r="BP25" t="b">
        <f t="shared" ca="1" si="46"/>
        <v>1</v>
      </c>
      <c r="BQ25" t="b">
        <f t="shared" ca="1" si="47"/>
        <v>0</v>
      </c>
      <c r="BR25">
        <f t="shared" si="48"/>
        <v>0</v>
      </c>
      <c r="BS25">
        <f t="shared" si="49"/>
        <v>0</v>
      </c>
      <c r="BT25">
        <f t="shared" si="50"/>
        <v>0</v>
      </c>
      <c r="BU25">
        <f t="shared" ca="1" si="51"/>
        <v>0</v>
      </c>
      <c r="BV25">
        <f t="shared" ca="1" si="52"/>
        <v>0</v>
      </c>
      <c r="BW25">
        <f t="shared" ca="1" si="53"/>
        <v>1</v>
      </c>
      <c r="BX25" t="b">
        <f t="shared" si="54"/>
        <v>0</v>
      </c>
      <c r="BY25" s="6" t="b">
        <f t="shared" si="55"/>
        <v>0</v>
      </c>
      <c r="BZ25">
        <f>MATCH(BZ$2,Spieltage!$C$318:$C$326,0)+317</f>
        <v>321</v>
      </c>
      <c r="CA25" t="e">
        <f>MATCH(BZ$2,Spieltage!$E$318:$E$326,0)+317</f>
        <v>#N/A</v>
      </c>
      <c r="CB25">
        <f t="shared" si="56"/>
        <v>321</v>
      </c>
      <c r="CC25">
        <f ca="1">INDIRECT("Spieltage!$F"&amp;'i2'!CB25)</f>
        <v>0</v>
      </c>
      <c r="CD25" s="35" t="s">
        <v>12</v>
      </c>
      <c r="CE25" s="97">
        <f ca="1">INDIRECT("Spieltage!$H"&amp;'i2'!CB25)</f>
        <v>0</v>
      </c>
      <c r="CF25" t="str">
        <f t="shared" si="57"/>
        <v>H</v>
      </c>
      <c r="CG25">
        <f t="shared" si="58"/>
        <v>1</v>
      </c>
      <c r="CH25" t="b">
        <f t="shared" ca="1" si="59"/>
        <v>0</v>
      </c>
      <c r="CI25" t="b">
        <f t="shared" ca="1" si="60"/>
        <v>1</v>
      </c>
      <c r="CJ25" t="b">
        <f t="shared" ca="1" si="61"/>
        <v>0</v>
      </c>
      <c r="CK25">
        <f t="shared" si="62"/>
        <v>0</v>
      </c>
      <c r="CL25">
        <f t="shared" si="63"/>
        <v>0</v>
      </c>
      <c r="CM25">
        <f t="shared" si="64"/>
        <v>0</v>
      </c>
      <c r="CN25">
        <f t="shared" ca="1" si="65"/>
        <v>0</v>
      </c>
      <c r="CO25">
        <f t="shared" ca="1" si="66"/>
        <v>0</v>
      </c>
      <c r="CP25">
        <f t="shared" ca="1" si="67"/>
        <v>1</v>
      </c>
      <c r="CQ25" t="b">
        <f t="shared" si="68"/>
        <v>0</v>
      </c>
      <c r="CR25" s="6" t="b">
        <f t="shared" si="69"/>
        <v>0</v>
      </c>
      <c r="CS25">
        <f>MATCH(CS$2,Spieltage!$C$318:$C$326,0)+317</f>
        <v>318</v>
      </c>
      <c r="CT25" t="e">
        <f>MATCH(CS$2,Spieltage!$E$318:$E$326,0)+317</f>
        <v>#N/A</v>
      </c>
      <c r="CU25">
        <f t="shared" si="70"/>
        <v>318</v>
      </c>
      <c r="CV25">
        <f ca="1">INDIRECT("Spieltage!$F"&amp;'i2'!CU25)</f>
        <v>0</v>
      </c>
      <c r="CW25" s="35" t="s">
        <v>12</v>
      </c>
      <c r="CX25" s="97">
        <f ca="1">INDIRECT("Spieltage!$H"&amp;'i2'!CU25)</f>
        <v>0</v>
      </c>
      <c r="CY25" t="str">
        <f t="shared" si="71"/>
        <v>H</v>
      </c>
      <c r="CZ25">
        <f t="shared" si="72"/>
        <v>1</v>
      </c>
      <c r="DA25" t="b">
        <f t="shared" ca="1" si="73"/>
        <v>0</v>
      </c>
      <c r="DB25" t="b">
        <f t="shared" ca="1" si="74"/>
        <v>1</v>
      </c>
      <c r="DC25" t="b">
        <f t="shared" ca="1" si="75"/>
        <v>0</v>
      </c>
      <c r="DD25">
        <f t="shared" si="76"/>
        <v>0</v>
      </c>
      <c r="DE25">
        <f t="shared" si="77"/>
        <v>0</v>
      </c>
      <c r="DF25">
        <f t="shared" si="78"/>
        <v>0</v>
      </c>
      <c r="DG25">
        <f t="shared" ca="1" si="79"/>
        <v>0</v>
      </c>
      <c r="DH25">
        <f t="shared" ca="1" si="80"/>
        <v>0</v>
      </c>
      <c r="DI25">
        <f t="shared" ca="1" si="81"/>
        <v>1</v>
      </c>
      <c r="DJ25" t="b">
        <f t="shared" si="82"/>
        <v>0</v>
      </c>
      <c r="DK25" s="6" t="b">
        <f t="shared" si="83"/>
        <v>0</v>
      </c>
      <c r="DL25" t="e">
        <f>MATCH(DL$2,Spieltage!$C$318:$C$326,0)+317</f>
        <v>#N/A</v>
      </c>
      <c r="DM25">
        <f>MATCH(DL$2,Spieltage!$E$318:$E$326,0)+317</f>
        <v>319</v>
      </c>
      <c r="DN25">
        <f t="shared" si="84"/>
        <v>319</v>
      </c>
      <c r="DO25">
        <f ca="1">INDIRECT("Spieltage!$F"&amp;'i2'!DN25)</f>
        <v>0</v>
      </c>
      <c r="DP25" s="35" t="s">
        <v>12</v>
      </c>
      <c r="DQ25" s="97">
        <f ca="1">INDIRECT("Spieltage!$H"&amp;'i2'!DN25)</f>
        <v>0</v>
      </c>
      <c r="DR25" t="str">
        <f t="shared" si="85"/>
        <v>A</v>
      </c>
      <c r="DS25">
        <f t="shared" si="86"/>
        <v>2</v>
      </c>
      <c r="DT25">
        <f t="shared" si="87"/>
        <v>0</v>
      </c>
      <c r="DU25">
        <f t="shared" si="88"/>
        <v>0</v>
      </c>
      <c r="DV25">
        <f t="shared" si="89"/>
        <v>0</v>
      </c>
      <c r="DW25" t="b">
        <f t="shared" ca="1" si="90"/>
        <v>0</v>
      </c>
      <c r="DX25" t="b">
        <f t="shared" ca="1" si="91"/>
        <v>1</v>
      </c>
      <c r="DY25" t="b">
        <f t="shared" ca="1" si="92"/>
        <v>0</v>
      </c>
      <c r="DZ25">
        <f t="shared" ca="1" si="93"/>
        <v>0</v>
      </c>
      <c r="EA25" t="b">
        <f t="shared" si="94"/>
        <v>0</v>
      </c>
      <c r="EB25" t="b">
        <f t="shared" si="95"/>
        <v>0</v>
      </c>
      <c r="EC25">
        <f t="shared" ca="1" si="96"/>
        <v>0</v>
      </c>
      <c r="ED25" s="6">
        <f t="shared" ca="1" si="97"/>
        <v>1</v>
      </c>
      <c r="EE25">
        <f>MATCH(EE$2,Spieltage!$C$318:$C$326,0)+317</f>
        <v>325</v>
      </c>
      <c r="EF25" t="e">
        <f>MATCH(EE$2,Spieltage!$E$318:$E$326,0)+317</f>
        <v>#N/A</v>
      </c>
      <c r="EG25">
        <f t="shared" si="98"/>
        <v>325</v>
      </c>
      <c r="EH25">
        <f ca="1">INDIRECT("Spieltage!$F"&amp;'i2'!EG25)</f>
        <v>0</v>
      </c>
      <c r="EI25" s="35" t="s">
        <v>12</v>
      </c>
      <c r="EJ25" s="97">
        <f ca="1">INDIRECT("Spieltage!$H"&amp;'i2'!EG25)</f>
        <v>0</v>
      </c>
      <c r="EK25" t="str">
        <f t="shared" si="99"/>
        <v>H</v>
      </c>
      <c r="EL25">
        <f t="shared" si="100"/>
        <v>1</v>
      </c>
      <c r="EM25" t="b">
        <f t="shared" ca="1" si="101"/>
        <v>0</v>
      </c>
      <c r="EN25" t="b">
        <f t="shared" ca="1" si="102"/>
        <v>1</v>
      </c>
      <c r="EO25" t="b">
        <f t="shared" ca="1" si="103"/>
        <v>0</v>
      </c>
      <c r="EP25">
        <f t="shared" si="104"/>
        <v>0</v>
      </c>
      <c r="EQ25">
        <f t="shared" si="105"/>
        <v>0</v>
      </c>
      <c r="ER25">
        <f t="shared" si="106"/>
        <v>0</v>
      </c>
      <c r="ES25">
        <f t="shared" ca="1" si="107"/>
        <v>0</v>
      </c>
      <c r="ET25">
        <f t="shared" ca="1" si="108"/>
        <v>0</v>
      </c>
      <c r="EU25">
        <f t="shared" ca="1" si="109"/>
        <v>1</v>
      </c>
      <c r="EV25" t="b">
        <f t="shared" si="110"/>
        <v>0</v>
      </c>
      <c r="EW25" s="6" t="b">
        <f t="shared" si="111"/>
        <v>0</v>
      </c>
      <c r="EX25" t="e">
        <f>MATCH(EX$2,Spieltage!$C$318:$C$326,0)+317</f>
        <v>#N/A</v>
      </c>
      <c r="EY25">
        <f>MATCH(EX$2,Spieltage!$E$318:$E$326,0)+317</f>
        <v>320</v>
      </c>
      <c r="EZ25">
        <f t="shared" si="112"/>
        <v>320</v>
      </c>
      <c r="FA25">
        <f ca="1">INDIRECT("Spieltage!$F"&amp;'i2'!EZ25)</f>
        <v>0</v>
      </c>
      <c r="FB25" s="35" t="s">
        <v>12</v>
      </c>
      <c r="FC25" s="97">
        <f ca="1">INDIRECT("Spieltage!$H"&amp;'i2'!EZ25)</f>
        <v>0</v>
      </c>
      <c r="FD25" t="str">
        <f t="shared" si="113"/>
        <v>A</v>
      </c>
      <c r="FE25">
        <f t="shared" si="114"/>
        <v>2</v>
      </c>
      <c r="FF25">
        <f t="shared" si="115"/>
        <v>0</v>
      </c>
      <c r="FG25">
        <f t="shared" si="116"/>
        <v>0</v>
      </c>
      <c r="FH25">
        <f t="shared" si="117"/>
        <v>0</v>
      </c>
      <c r="FI25" t="b">
        <f t="shared" ca="1" si="118"/>
        <v>0</v>
      </c>
      <c r="FJ25" t="b">
        <f t="shared" ca="1" si="119"/>
        <v>1</v>
      </c>
      <c r="FK25" t="b">
        <f t="shared" ca="1" si="120"/>
        <v>0</v>
      </c>
      <c r="FL25">
        <f t="shared" ca="1" si="121"/>
        <v>0</v>
      </c>
      <c r="FM25" t="b">
        <f t="shared" si="122"/>
        <v>0</v>
      </c>
      <c r="FN25" t="b">
        <f t="shared" si="123"/>
        <v>0</v>
      </c>
      <c r="FO25">
        <f t="shared" ca="1" si="124"/>
        <v>0</v>
      </c>
      <c r="FP25" s="6">
        <f t="shared" ca="1" si="125"/>
        <v>1</v>
      </c>
      <c r="FQ25" t="e">
        <f>MATCH(FQ$2,Spieltage!$C$318:$C$326,0)+317</f>
        <v>#N/A</v>
      </c>
      <c r="FR25">
        <f>MATCH(FQ$2,Spieltage!$E$318:$E$326,0)+317</f>
        <v>326</v>
      </c>
      <c r="FS25">
        <f t="shared" si="126"/>
        <v>326</v>
      </c>
      <c r="FT25">
        <f ca="1">INDIRECT("Spieltage!$F"&amp;'i2'!FS25)</f>
        <v>0</v>
      </c>
      <c r="FU25" s="35" t="s">
        <v>12</v>
      </c>
      <c r="FV25" s="97">
        <f ca="1">INDIRECT("Spieltage!$H"&amp;'i2'!FS25)</f>
        <v>0</v>
      </c>
      <c r="FW25" t="str">
        <f t="shared" si="127"/>
        <v>A</v>
      </c>
      <c r="FX25">
        <f t="shared" si="128"/>
        <v>2</v>
      </c>
      <c r="FY25">
        <f t="shared" si="129"/>
        <v>0</v>
      </c>
      <c r="FZ25">
        <f t="shared" si="130"/>
        <v>0</v>
      </c>
      <c r="GA25">
        <f t="shared" si="131"/>
        <v>0</v>
      </c>
      <c r="GB25" t="b">
        <f t="shared" ca="1" si="132"/>
        <v>0</v>
      </c>
      <c r="GC25" t="b">
        <f t="shared" ca="1" si="133"/>
        <v>1</v>
      </c>
      <c r="GD25" t="b">
        <f t="shared" ca="1" si="134"/>
        <v>0</v>
      </c>
      <c r="GE25">
        <f t="shared" ca="1" si="135"/>
        <v>0</v>
      </c>
      <c r="GF25" t="b">
        <f t="shared" si="136"/>
        <v>0</v>
      </c>
      <c r="GG25" t="b">
        <f t="shared" si="137"/>
        <v>0</v>
      </c>
      <c r="GH25">
        <f t="shared" ca="1" si="138"/>
        <v>0</v>
      </c>
      <c r="GI25" s="6">
        <f t="shared" ca="1" si="139"/>
        <v>1</v>
      </c>
      <c r="GJ25" t="e">
        <f>MATCH(GJ$2,Spieltage!$C$318:$C$326,0)+317</f>
        <v>#N/A</v>
      </c>
      <c r="GK25">
        <f>MATCH(GJ$2,Spieltage!$E$318:$E$326,0)+317</f>
        <v>321</v>
      </c>
      <c r="GL25">
        <f t="shared" si="140"/>
        <v>321</v>
      </c>
      <c r="GM25">
        <f ca="1">INDIRECT("Spieltage!$F"&amp;'i2'!GL25)</f>
        <v>0</v>
      </c>
      <c r="GN25" s="35" t="s">
        <v>12</v>
      </c>
      <c r="GO25" s="97">
        <f ca="1">INDIRECT("Spieltage!$H"&amp;'i2'!GL25)</f>
        <v>0</v>
      </c>
      <c r="GP25" t="str">
        <f t="shared" si="141"/>
        <v>A</v>
      </c>
      <c r="GQ25">
        <f t="shared" si="142"/>
        <v>2</v>
      </c>
      <c r="GR25">
        <f t="shared" si="143"/>
        <v>0</v>
      </c>
      <c r="GS25">
        <f t="shared" si="144"/>
        <v>0</v>
      </c>
      <c r="GT25">
        <f t="shared" si="145"/>
        <v>0</v>
      </c>
      <c r="GU25" t="b">
        <f t="shared" ca="1" si="146"/>
        <v>0</v>
      </c>
      <c r="GV25" t="b">
        <f t="shared" ca="1" si="147"/>
        <v>1</v>
      </c>
      <c r="GW25" t="b">
        <f t="shared" ca="1" si="148"/>
        <v>0</v>
      </c>
      <c r="GX25">
        <f t="shared" ca="1" si="149"/>
        <v>0</v>
      </c>
      <c r="GY25" t="b">
        <f t="shared" si="150"/>
        <v>0</v>
      </c>
      <c r="GZ25" t="b">
        <f t="shared" si="151"/>
        <v>0</v>
      </c>
      <c r="HA25">
        <f t="shared" ca="1" si="152"/>
        <v>0</v>
      </c>
      <c r="HB25" s="6">
        <f t="shared" ca="1" si="153"/>
        <v>1</v>
      </c>
      <c r="HC25">
        <f>MATCH(HC$2,Spieltage!$C$318:$C$326,0)+317</f>
        <v>323</v>
      </c>
      <c r="HD25" t="e">
        <f>MATCH(HC$2,Spieltage!$E$318:$E$326,0)+317</f>
        <v>#N/A</v>
      </c>
      <c r="HE25">
        <f t="shared" si="154"/>
        <v>323</v>
      </c>
      <c r="HF25">
        <f ca="1">INDIRECT("Spieltage!$F"&amp;'i2'!HE25)</f>
        <v>0</v>
      </c>
      <c r="HG25" s="35" t="s">
        <v>12</v>
      </c>
      <c r="HH25" s="97">
        <f ca="1">INDIRECT("Spieltage!$H"&amp;'i2'!HE25)</f>
        <v>0</v>
      </c>
      <c r="HI25" t="str">
        <f t="shared" si="155"/>
        <v>H</v>
      </c>
      <c r="HJ25">
        <f t="shared" si="156"/>
        <v>1</v>
      </c>
      <c r="HK25" t="b">
        <f t="shared" ca="1" si="157"/>
        <v>0</v>
      </c>
      <c r="HL25" t="b">
        <f t="shared" ca="1" si="158"/>
        <v>1</v>
      </c>
      <c r="HM25" t="b">
        <f t="shared" ca="1" si="159"/>
        <v>0</v>
      </c>
      <c r="HN25">
        <f t="shared" si="160"/>
        <v>0</v>
      </c>
      <c r="HO25">
        <f t="shared" si="161"/>
        <v>0</v>
      </c>
      <c r="HP25">
        <f t="shared" si="162"/>
        <v>0</v>
      </c>
      <c r="HQ25">
        <f t="shared" ca="1" si="163"/>
        <v>0</v>
      </c>
      <c r="HR25">
        <f t="shared" ca="1" si="164"/>
        <v>0</v>
      </c>
      <c r="HS25">
        <f t="shared" ca="1" si="165"/>
        <v>1</v>
      </c>
      <c r="HT25" t="b">
        <f t="shared" si="166"/>
        <v>0</v>
      </c>
      <c r="HU25" s="6" t="b">
        <f t="shared" si="167"/>
        <v>0</v>
      </c>
      <c r="HV25" t="e">
        <f>MATCH(HV$2,Spieltage!$C$318:$C$326,0)+317</f>
        <v>#N/A</v>
      </c>
      <c r="HW25">
        <f>MATCH(HV$2,Spieltage!$E$318:$E$326,0)+317</f>
        <v>323</v>
      </c>
      <c r="HX25">
        <f t="shared" si="168"/>
        <v>323</v>
      </c>
      <c r="HY25">
        <f ca="1">INDIRECT("Spieltage!$F"&amp;'i2'!HX25)</f>
        <v>0</v>
      </c>
      <c r="HZ25" s="35" t="s">
        <v>12</v>
      </c>
      <c r="IA25" s="97">
        <f ca="1">INDIRECT("Spieltage!$H"&amp;'i2'!HX25)</f>
        <v>0</v>
      </c>
      <c r="IB25" t="str">
        <f t="shared" si="169"/>
        <v>A</v>
      </c>
      <c r="IC25">
        <f t="shared" si="170"/>
        <v>2</v>
      </c>
      <c r="ID25">
        <f t="shared" si="171"/>
        <v>0</v>
      </c>
      <c r="IE25">
        <f t="shared" si="172"/>
        <v>0</v>
      </c>
      <c r="IF25">
        <f t="shared" si="173"/>
        <v>0</v>
      </c>
      <c r="IG25" t="b">
        <f t="shared" ca="1" si="174"/>
        <v>0</v>
      </c>
      <c r="IH25" t="b">
        <f t="shared" ca="1" si="175"/>
        <v>1</v>
      </c>
      <c r="II25" t="b">
        <f t="shared" ca="1" si="176"/>
        <v>0</v>
      </c>
      <c r="IJ25">
        <f t="shared" ca="1" si="177"/>
        <v>0</v>
      </c>
      <c r="IK25" t="b">
        <f t="shared" si="178"/>
        <v>0</v>
      </c>
      <c r="IL25" t="b">
        <f t="shared" si="179"/>
        <v>0</v>
      </c>
      <c r="IM25">
        <f t="shared" ca="1" si="180"/>
        <v>0</v>
      </c>
      <c r="IN25" s="6">
        <f t="shared" ca="1" si="181"/>
        <v>1</v>
      </c>
      <c r="IO25">
        <f>MATCH(IO$2,Spieltage!$C$318:$C$326,0)+317</f>
        <v>326</v>
      </c>
      <c r="IP25" t="e">
        <f>MATCH(IO$2,Spieltage!$E$318:$E$326,0)+317</f>
        <v>#N/A</v>
      </c>
      <c r="IQ25">
        <f t="shared" si="182"/>
        <v>326</v>
      </c>
      <c r="IR25">
        <f ca="1">INDIRECT("Spieltage!$F"&amp;'i2'!IQ25)</f>
        <v>0</v>
      </c>
      <c r="IS25" s="35" t="s">
        <v>12</v>
      </c>
      <c r="IT25" s="97">
        <f ca="1">INDIRECT("Spieltage!$H"&amp;'i2'!IQ25)</f>
        <v>0</v>
      </c>
      <c r="IU25" t="str">
        <f t="shared" si="183"/>
        <v>H</v>
      </c>
      <c r="IV25">
        <f t="shared" si="184"/>
        <v>1</v>
      </c>
      <c r="IW25" t="b">
        <f t="shared" ca="1" si="185"/>
        <v>0</v>
      </c>
      <c r="IX25" t="b">
        <f t="shared" ca="1" si="186"/>
        <v>1</v>
      </c>
      <c r="IY25" t="b">
        <f t="shared" ca="1" si="187"/>
        <v>0</v>
      </c>
      <c r="IZ25">
        <f t="shared" si="188"/>
        <v>0</v>
      </c>
      <c r="JA25">
        <f t="shared" si="189"/>
        <v>0</v>
      </c>
      <c r="JB25">
        <f t="shared" si="190"/>
        <v>0</v>
      </c>
      <c r="JC25">
        <f t="shared" ca="1" si="191"/>
        <v>0</v>
      </c>
      <c r="JD25">
        <f t="shared" ca="1" si="192"/>
        <v>0</v>
      </c>
      <c r="JE25">
        <f t="shared" ca="1" si="193"/>
        <v>1</v>
      </c>
      <c r="JF25" t="b">
        <f t="shared" si="194"/>
        <v>0</v>
      </c>
      <c r="JG25" s="6" t="b">
        <f t="shared" si="195"/>
        <v>0</v>
      </c>
      <c r="JH25" t="e">
        <f>MATCH(JH$2,Spieltage!$C$318:$C$326,0)+317</f>
        <v>#N/A</v>
      </c>
      <c r="JI25">
        <f>MATCH(JH$2,Spieltage!$E$318:$E$326,0)+317</f>
        <v>324</v>
      </c>
      <c r="JJ25">
        <f t="shared" si="196"/>
        <v>324</v>
      </c>
      <c r="JK25">
        <f ca="1">INDIRECT("Spieltage!$F"&amp;'i2'!JJ25)</f>
        <v>0</v>
      </c>
      <c r="JL25" s="35" t="s">
        <v>12</v>
      </c>
      <c r="JM25" s="97">
        <f ca="1">INDIRECT("Spieltage!$H"&amp;'i2'!JJ25)</f>
        <v>0</v>
      </c>
      <c r="JN25" t="str">
        <f t="shared" si="197"/>
        <v>A</v>
      </c>
      <c r="JO25">
        <f t="shared" si="198"/>
        <v>2</v>
      </c>
      <c r="JP25">
        <f t="shared" si="199"/>
        <v>0</v>
      </c>
      <c r="JQ25">
        <f t="shared" si="200"/>
        <v>0</v>
      </c>
      <c r="JR25">
        <f t="shared" si="201"/>
        <v>0</v>
      </c>
      <c r="JS25" t="b">
        <f t="shared" ca="1" si="202"/>
        <v>0</v>
      </c>
      <c r="JT25" t="b">
        <f t="shared" ca="1" si="203"/>
        <v>1</v>
      </c>
      <c r="JU25" t="b">
        <f t="shared" ca="1" si="204"/>
        <v>0</v>
      </c>
      <c r="JV25">
        <f t="shared" ca="1" si="205"/>
        <v>0</v>
      </c>
      <c r="JW25" t="b">
        <f t="shared" si="206"/>
        <v>0</v>
      </c>
      <c r="JX25" t="b">
        <f t="shared" si="207"/>
        <v>0</v>
      </c>
      <c r="JY25">
        <f t="shared" ca="1" si="208"/>
        <v>0</v>
      </c>
      <c r="JZ25" s="6">
        <f t="shared" ca="1" si="209"/>
        <v>1</v>
      </c>
      <c r="KA25">
        <f>MATCH(KA$2,Spieltage!$C$318:$C$326,0)+317</f>
        <v>320</v>
      </c>
      <c r="KB25" t="e">
        <f>MATCH(KA$2,Spieltage!$E$318:$E$326,0)+317</f>
        <v>#N/A</v>
      </c>
      <c r="KC25">
        <f t="shared" si="210"/>
        <v>320</v>
      </c>
      <c r="KD25">
        <f ca="1">INDIRECT("Spieltage!$F"&amp;'i2'!KC25)</f>
        <v>0</v>
      </c>
      <c r="KE25" s="35" t="s">
        <v>12</v>
      </c>
      <c r="KF25" s="97">
        <f ca="1">INDIRECT("Spieltage!$H"&amp;'i2'!KC25)</f>
        <v>0</v>
      </c>
      <c r="KG25" t="str">
        <f t="shared" si="211"/>
        <v>H</v>
      </c>
      <c r="KH25">
        <f t="shared" si="212"/>
        <v>1</v>
      </c>
      <c r="KI25" t="b">
        <f t="shared" ca="1" si="213"/>
        <v>0</v>
      </c>
      <c r="KJ25" t="b">
        <f t="shared" ca="1" si="214"/>
        <v>1</v>
      </c>
      <c r="KK25" t="b">
        <f t="shared" ca="1" si="215"/>
        <v>0</v>
      </c>
      <c r="KL25">
        <f t="shared" si="216"/>
        <v>0</v>
      </c>
      <c r="KM25">
        <f t="shared" si="217"/>
        <v>0</v>
      </c>
      <c r="KN25">
        <f t="shared" si="218"/>
        <v>0</v>
      </c>
      <c r="KO25">
        <f t="shared" ca="1" si="219"/>
        <v>0</v>
      </c>
      <c r="KP25">
        <f t="shared" ca="1" si="220"/>
        <v>0</v>
      </c>
      <c r="KQ25">
        <f t="shared" ca="1" si="221"/>
        <v>1</v>
      </c>
      <c r="KR25" t="b">
        <f t="shared" si="222"/>
        <v>0</v>
      </c>
      <c r="KS25" s="6" t="b">
        <f t="shared" si="223"/>
        <v>0</v>
      </c>
      <c r="KT25" t="e">
        <f>MATCH(KT$2,Spieltage!$C$318:$C$326,0)+317</f>
        <v>#N/A</v>
      </c>
      <c r="KU25">
        <f>MATCH(KT$2,Spieltage!$E$318:$E$326,0)+317</f>
        <v>325</v>
      </c>
      <c r="KV25">
        <f t="shared" si="224"/>
        <v>325</v>
      </c>
      <c r="KW25">
        <f ca="1">INDIRECT("Spieltage!$F"&amp;'i2'!KV25)</f>
        <v>0</v>
      </c>
      <c r="KX25" s="35" t="s">
        <v>12</v>
      </c>
      <c r="KY25" s="97">
        <f ca="1">INDIRECT("Spieltage!$H"&amp;'i2'!KV25)</f>
        <v>0</v>
      </c>
      <c r="KZ25" t="str">
        <f t="shared" si="225"/>
        <v>A</v>
      </c>
      <c r="LA25">
        <f t="shared" si="226"/>
        <v>2</v>
      </c>
      <c r="LB25">
        <f t="shared" si="227"/>
        <v>0</v>
      </c>
      <c r="LC25">
        <f t="shared" si="228"/>
        <v>0</v>
      </c>
      <c r="LD25">
        <f t="shared" si="229"/>
        <v>0</v>
      </c>
      <c r="LE25" t="b">
        <f t="shared" ca="1" si="230"/>
        <v>0</v>
      </c>
      <c r="LF25" t="b">
        <f t="shared" ca="1" si="231"/>
        <v>1</v>
      </c>
      <c r="LG25" t="b">
        <f t="shared" ca="1" si="232"/>
        <v>0</v>
      </c>
      <c r="LH25">
        <f t="shared" ca="1" si="233"/>
        <v>0</v>
      </c>
      <c r="LI25" t="b">
        <f t="shared" si="234"/>
        <v>0</v>
      </c>
      <c r="LJ25" t="b">
        <f t="shared" si="235"/>
        <v>0</v>
      </c>
      <c r="LK25">
        <f t="shared" ca="1" si="236"/>
        <v>0</v>
      </c>
      <c r="LL25" s="6">
        <f t="shared" ca="1" si="237"/>
        <v>1</v>
      </c>
      <c r="LM25" t="e">
        <f>MATCH(LM$2,Spieltage!$C$318:$C$326,0)+317</f>
        <v>#N/A</v>
      </c>
      <c r="LN25">
        <f>MATCH(LM$2,Spieltage!$E$318:$E$326,0)+317</f>
        <v>322</v>
      </c>
      <c r="LO25">
        <f t="shared" si="238"/>
        <v>322</v>
      </c>
      <c r="LP25">
        <f ca="1">INDIRECT("Spieltage!$F"&amp;'i2'!LO25)</f>
        <v>0</v>
      </c>
      <c r="LQ25" s="35" t="s">
        <v>12</v>
      </c>
      <c r="LR25" s="97">
        <f ca="1">INDIRECT("Spieltage!$H"&amp;'i2'!LO25)</f>
        <v>0</v>
      </c>
      <c r="LS25" t="str">
        <f t="shared" si="239"/>
        <v>A</v>
      </c>
      <c r="LT25">
        <f t="shared" si="240"/>
        <v>2</v>
      </c>
      <c r="LU25">
        <f t="shared" si="241"/>
        <v>0</v>
      </c>
      <c r="LV25">
        <f t="shared" si="242"/>
        <v>0</v>
      </c>
      <c r="LW25">
        <f t="shared" si="243"/>
        <v>0</v>
      </c>
      <c r="LX25" t="b">
        <f t="shared" ca="1" si="244"/>
        <v>0</v>
      </c>
      <c r="LY25" t="b">
        <f t="shared" ca="1" si="245"/>
        <v>1</v>
      </c>
      <c r="LZ25" t="b">
        <f t="shared" ca="1" si="246"/>
        <v>0</v>
      </c>
      <c r="MA25">
        <f t="shared" ca="1" si="247"/>
        <v>0</v>
      </c>
      <c r="MB25" t="b">
        <f t="shared" si="248"/>
        <v>0</v>
      </c>
      <c r="MC25" t="b">
        <f t="shared" si="249"/>
        <v>0</v>
      </c>
      <c r="MD25">
        <f t="shared" ca="1" si="250"/>
        <v>0</v>
      </c>
      <c r="ME25" s="6">
        <f t="shared" ca="1" si="251"/>
        <v>1</v>
      </c>
    </row>
    <row r="26" spans="1:343" x14ac:dyDescent="0.2">
      <c r="A26" s="104" t="s">
        <v>234</v>
      </c>
      <c r="B26">
        <f>MATCH(B$2,Spieltage!$C$333:$C$341,0)+332</f>
        <v>334</v>
      </c>
      <c r="C26" t="e">
        <f>MATCH(B$2,Spieltage!$E$333:$E$341,0)+332</f>
        <v>#N/A</v>
      </c>
      <c r="D26">
        <f t="shared" si="0"/>
        <v>334</v>
      </c>
      <c r="E26">
        <f ca="1">INDIRECT("Spieltage!$F"&amp;'i2'!D26)</f>
        <v>0</v>
      </c>
      <c r="F26" s="35" t="s">
        <v>12</v>
      </c>
      <c r="G26" s="97">
        <f ca="1">INDIRECT("Spieltage!$H"&amp;'i2'!D26)</f>
        <v>0</v>
      </c>
      <c r="H26" t="str">
        <f t="shared" si="1"/>
        <v>H</v>
      </c>
      <c r="I26">
        <f t="shared" si="2"/>
        <v>1</v>
      </c>
      <c r="J26" t="b">
        <f t="shared" ca="1" si="3"/>
        <v>0</v>
      </c>
      <c r="K26" t="b">
        <f t="shared" ca="1" si="4"/>
        <v>1</v>
      </c>
      <c r="L26" t="b">
        <f t="shared" ca="1" si="5"/>
        <v>0</v>
      </c>
      <c r="M26">
        <f t="shared" si="6"/>
        <v>0</v>
      </c>
      <c r="N26">
        <f t="shared" si="7"/>
        <v>0</v>
      </c>
      <c r="O26">
        <f t="shared" si="8"/>
        <v>0</v>
      </c>
      <c r="P26">
        <f t="shared" ca="1" si="9"/>
        <v>0</v>
      </c>
      <c r="Q26">
        <f t="shared" ca="1" si="10"/>
        <v>0</v>
      </c>
      <c r="R26">
        <f t="shared" ca="1" si="11"/>
        <v>1</v>
      </c>
      <c r="S26" t="b">
        <f t="shared" si="12"/>
        <v>0</v>
      </c>
      <c r="T26" s="6" t="b">
        <f t="shared" si="13"/>
        <v>0</v>
      </c>
      <c r="U26">
        <f>MATCH(U$2,Spieltage!$C$333:$C$341,0)+332</f>
        <v>335</v>
      </c>
      <c r="V26" t="e">
        <f>MATCH(U$2,Spieltage!$E$333:$E$341,0)+332</f>
        <v>#N/A</v>
      </c>
      <c r="W26">
        <f t="shared" si="14"/>
        <v>335</v>
      </c>
      <c r="X26">
        <f ca="1">INDIRECT("Spieltage!$F"&amp;'i2'!W26)</f>
        <v>0</v>
      </c>
      <c r="Y26" s="35" t="s">
        <v>12</v>
      </c>
      <c r="Z26" s="97">
        <f ca="1">INDIRECT("Spieltage!$H"&amp;'i2'!W26)</f>
        <v>0</v>
      </c>
      <c r="AA26" t="str">
        <f t="shared" si="15"/>
        <v>H</v>
      </c>
      <c r="AB26">
        <f t="shared" si="16"/>
        <v>1</v>
      </c>
      <c r="AC26" t="b">
        <f t="shared" ca="1" si="17"/>
        <v>0</v>
      </c>
      <c r="AD26" t="b">
        <f t="shared" ca="1" si="18"/>
        <v>1</v>
      </c>
      <c r="AE26" t="b">
        <f t="shared" ca="1" si="19"/>
        <v>0</v>
      </c>
      <c r="AF26">
        <f t="shared" si="20"/>
        <v>0</v>
      </c>
      <c r="AG26">
        <f t="shared" si="21"/>
        <v>0</v>
      </c>
      <c r="AH26">
        <f t="shared" si="22"/>
        <v>0</v>
      </c>
      <c r="AI26">
        <f t="shared" ca="1" si="23"/>
        <v>0</v>
      </c>
      <c r="AJ26">
        <f t="shared" ca="1" si="24"/>
        <v>0</v>
      </c>
      <c r="AK26">
        <f t="shared" ca="1" si="25"/>
        <v>1</v>
      </c>
      <c r="AL26" t="b">
        <f t="shared" si="26"/>
        <v>0</v>
      </c>
      <c r="AM26" s="6" t="b">
        <f t="shared" si="27"/>
        <v>0</v>
      </c>
      <c r="AN26" t="e">
        <f>MATCH(AN$2,Spieltage!$C$333:$C$341,0)+332</f>
        <v>#N/A</v>
      </c>
      <c r="AO26">
        <f>MATCH(AN$2,Spieltage!$E$333:$E$341,0)+332</f>
        <v>333</v>
      </c>
      <c r="AP26">
        <f t="shared" si="28"/>
        <v>333</v>
      </c>
      <c r="AQ26">
        <f ca="1">INDIRECT("Spieltage!$F"&amp;'i2'!AP26)</f>
        <v>0</v>
      </c>
      <c r="AR26" s="35" t="s">
        <v>12</v>
      </c>
      <c r="AS26" s="97">
        <f ca="1">INDIRECT("Spieltage!$H"&amp;'i2'!AP26)</f>
        <v>0</v>
      </c>
      <c r="AT26" t="str">
        <f t="shared" si="29"/>
        <v>A</v>
      </c>
      <c r="AU26">
        <f t="shared" si="30"/>
        <v>2</v>
      </c>
      <c r="AV26">
        <f t="shared" si="31"/>
        <v>0</v>
      </c>
      <c r="AW26">
        <f t="shared" si="32"/>
        <v>0</v>
      </c>
      <c r="AX26">
        <f t="shared" si="33"/>
        <v>0</v>
      </c>
      <c r="AY26" t="b">
        <f t="shared" ca="1" si="34"/>
        <v>0</v>
      </c>
      <c r="AZ26" t="b">
        <f t="shared" ca="1" si="35"/>
        <v>1</v>
      </c>
      <c r="BA26" t="b">
        <f t="shared" ca="1" si="36"/>
        <v>0</v>
      </c>
      <c r="BB26">
        <f t="shared" ca="1" si="37"/>
        <v>0</v>
      </c>
      <c r="BC26" t="b">
        <f t="shared" si="38"/>
        <v>0</v>
      </c>
      <c r="BD26" t="b">
        <f t="shared" si="39"/>
        <v>0</v>
      </c>
      <c r="BE26">
        <f t="shared" ca="1" si="40"/>
        <v>0</v>
      </c>
      <c r="BF26" s="6">
        <f t="shared" ca="1" si="41"/>
        <v>1</v>
      </c>
      <c r="BG26" t="e">
        <f>MATCH(BG$2,Spieltage!$C$333:$C$341,0)+332</f>
        <v>#N/A</v>
      </c>
      <c r="BH26">
        <f>MATCH(BG$2,Spieltage!$E$333:$E$341,0)+332</f>
        <v>340</v>
      </c>
      <c r="BI26">
        <f t="shared" si="42"/>
        <v>340</v>
      </c>
      <c r="BJ26">
        <f ca="1">INDIRECT("Spieltage!$F"&amp;'i2'!BI26)</f>
        <v>0</v>
      </c>
      <c r="BK26" s="35" t="s">
        <v>12</v>
      </c>
      <c r="BL26" s="97">
        <f ca="1">INDIRECT("Spieltage!$H"&amp;'i2'!BI26)</f>
        <v>0</v>
      </c>
      <c r="BM26" t="str">
        <f t="shared" si="43"/>
        <v>A</v>
      </c>
      <c r="BN26">
        <f t="shared" si="44"/>
        <v>2</v>
      </c>
      <c r="BO26">
        <f t="shared" si="45"/>
        <v>0</v>
      </c>
      <c r="BP26">
        <f t="shared" si="46"/>
        <v>0</v>
      </c>
      <c r="BQ26">
        <f t="shared" si="47"/>
        <v>0</v>
      </c>
      <c r="BR26" t="b">
        <f t="shared" ca="1" si="48"/>
        <v>0</v>
      </c>
      <c r="BS26" t="b">
        <f t="shared" ca="1" si="49"/>
        <v>1</v>
      </c>
      <c r="BT26" t="b">
        <f t="shared" ca="1" si="50"/>
        <v>0</v>
      </c>
      <c r="BU26">
        <f t="shared" ca="1" si="51"/>
        <v>0</v>
      </c>
      <c r="BV26" t="b">
        <f t="shared" si="52"/>
        <v>0</v>
      </c>
      <c r="BW26" t="b">
        <f t="shared" si="53"/>
        <v>0</v>
      </c>
      <c r="BX26">
        <f t="shared" ca="1" si="54"/>
        <v>0</v>
      </c>
      <c r="BY26" s="6">
        <f t="shared" ca="1" si="55"/>
        <v>1</v>
      </c>
      <c r="BZ26" t="e">
        <f>MATCH(BZ$2,Spieltage!$C$333:$C$341,0)+332</f>
        <v>#N/A</v>
      </c>
      <c r="CA26">
        <f>MATCH(BZ$2,Spieltage!$E$333:$E$341,0)+332</f>
        <v>334</v>
      </c>
      <c r="CB26">
        <f t="shared" si="56"/>
        <v>334</v>
      </c>
      <c r="CC26">
        <f ca="1">INDIRECT("Spieltage!$F"&amp;'i2'!CB26)</f>
        <v>0</v>
      </c>
      <c r="CD26" s="35" t="s">
        <v>12</v>
      </c>
      <c r="CE26" s="97">
        <f ca="1">INDIRECT("Spieltage!$H"&amp;'i2'!CB26)</f>
        <v>0</v>
      </c>
      <c r="CF26" t="str">
        <f t="shared" si="57"/>
        <v>A</v>
      </c>
      <c r="CG26">
        <f t="shared" si="58"/>
        <v>2</v>
      </c>
      <c r="CH26">
        <f t="shared" si="59"/>
        <v>0</v>
      </c>
      <c r="CI26">
        <f t="shared" si="60"/>
        <v>0</v>
      </c>
      <c r="CJ26">
        <f t="shared" si="61"/>
        <v>0</v>
      </c>
      <c r="CK26" t="b">
        <f t="shared" ca="1" si="62"/>
        <v>0</v>
      </c>
      <c r="CL26" t="b">
        <f t="shared" ca="1" si="63"/>
        <v>1</v>
      </c>
      <c r="CM26" t="b">
        <f t="shared" ca="1" si="64"/>
        <v>0</v>
      </c>
      <c r="CN26">
        <f t="shared" ca="1" si="65"/>
        <v>0</v>
      </c>
      <c r="CO26" t="b">
        <f t="shared" si="66"/>
        <v>0</v>
      </c>
      <c r="CP26" t="b">
        <f t="shared" si="67"/>
        <v>0</v>
      </c>
      <c r="CQ26">
        <f t="shared" ca="1" si="68"/>
        <v>0</v>
      </c>
      <c r="CR26" s="6">
        <f t="shared" ca="1" si="69"/>
        <v>1</v>
      </c>
      <c r="CS26" t="e">
        <f>MATCH(CS$2,Spieltage!$C$333:$C$341,0)+332</f>
        <v>#N/A</v>
      </c>
      <c r="CT26">
        <f>MATCH(CS$2,Spieltage!$E$333:$E$341,0)+332</f>
        <v>336</v>
      </c>
      <c r="CU26">
        <f t="shared" si="70"/>
        <v>336</v>
      </c>
      <c r="CV26">
        <f ca="1">INDIRECT("Spieltage!$F"&amp;'i2'!CU26)</f>
        <v>0</v>
      </c>
      <c r="CW26" s="35" t="s">
        <v>12</v>
      </c>
      <c r="CX26" s="97">
        <f ca="1">INDIRECT("Spieltage!$H"&amp;'i2'!CU26)</f>
        <v>0</v>
      </c>
      <c r="CY26" t="str">
        <f t="shared" si="71"/>
        <v>A</v>
      </c>
      <c r="CZ26">
        <f t="shared" si="72"/>
        <v>2</v>
      </c>
      <c r="DA26">
        <f t="shared" si="73"/>
        <v>0</v>
      </c>
      <c r="DB26">
        <f t="shared" si="74"/>
        <v>0</v>
      </c>
      <c r="DC26">
        <f t="shared" si="75"/>
        <v>0</v>
      </c>
      <c r="DD26" t="b">
        <f t="shared" ca="1" si="76"/>
        <v>0</v>
      </c>
      <c r="DE26" t="b">
        <f t="shared" ca="1" si="77"/>
        <v>1</v>
      </c>
      <c r="DF26" t="b">
        <f t="shared" ca="1" si="78"/>
        <v>0</v>
      </c>
      <c r="DG26">
        <f t="shared" ca="1" si="79"/>
        <v>0</v>
      </c>
      <c r="DH26" t="b">
        <f t="shared" si="80"/>
        <v>0</v>
      </c>
      <c r="DI26" t="b">
        <f t="shared" si="81"/>
        <v>0</v>
      </c>
      <c r="DJ26">
        <f t="shared" ca="1" si="82"/>
        <v>0</v>
      </c>
      <c r="DK26" s="6">
        <f t="shared" ca="1" si="83"/>
        <v>1</v>
      </c>
      <c r="DL26">
        <f>MATCH(DL$2,Spieltage!$C$333:$C$341,0)+332</f>
        <v>338</v>
      </c>
      <c r="DM26" t="e">
        <f>MATCH(DL$2,Spieltage!$E$333:$E$341,0)+332</f>
        <v>#N/A</v>
      </c>
      <c r="DN26">
        <f t="shared" si="84"/>
        <v>338</v>
      </c>
      <c r="DO26">
        <f ca="1">INDIRECT("Spieltage!$F"&amp;'i2'!DN26)</f>
        <v>0</v>
      </c>
      <c r="DP26" s="35" t="s">
        <v>12</v>
      </c>
      <c r="DQ26" s="97">
        <f ca="1">INDIRECT("Spieltage!$H"&amp;'i2'!DN26)</f>
        <v>0</v>
      </c>
      <c r="DR26" t="str">
        <f t="shared" si="85"/>
        <v>H</v>
      </c>
      <c r="DS26">
        <f t="shared" si="86"/>
        <v>1</v>
      </c>
      <c r="DT26" t="b">
        <f t="shared" ca="1" si="87"/>
        <v>0</v>
      </c>
      <c r="DU26" t="b">
        <f t="shared" ca="1" si="88"/>
        <v>1</v>
      </c>
      <c r="DV26" t="b">
        <f t="shared" ca="1" si="89"/>
        <v>0</v>
      </c>
      <c r="DW26">
        <f t="shared" si="90"/>
        <v>0</v>
      </c>
      <c r="DX26">
        <f t="shared" si="91"/>
        <v>0</v>
      </c>
      <c r="DY26">
        <f t="shared" si="92"/>
        <v>0</v>
      </c>
      <c r="DZ26">
        <f t="shared" ca="1" si="93"/>
        <v>0</v>
      </c>
      <c r="EA26">
        <f t="shared" ca="1" si="94"/>
        <v>0</v>
      </c>
      <c r="EB26">
        <f t="shared" ca="1" si="95"/>
        <v>1</v>
      </c>
      <c r="EC26" t="b">
        <f t="shared" si="96"/>
        <v>0</v>
      </c>
      <c r="ED26" s="6" t="b">
        <f t="shared" si="97"/>
        <v>0</v>
      </c>
      <c r="EE26" t="e">
        <f>MATCH(EE$2,Spieltage!$C$333:$C$341,0)+332</f>
        <v>#N/A</v>
      </c>
      <c r="EF26">
        <f>MATCH(EE$2,Spieltage!$E$333:$E$341,0)+332</f>
        <v>339</v>
      </c>
      <c r="EG26">
        <f t="shared" si="98"/>
        <v>339</v>
      </c>
      <c r="EH26">
        <f ca="1">INDIRECT("Spieltage!$F"&amp;'i2'!EG26)</f>
        <v>0</v>
      </c>
      <c r="EI26" s="35" t="s">
        <v>12</v>
      </c>
      <c r="EJ26" s="97">
        <f ca="1">INDIRECT("Spieltage!$H"&amp;'i2'!EG26)</f>
        <v>0</v>
      </c>
      <c r="EK26" t="str">
        <f t="shared" si="99"/>
        <v>A</v>
      </c>
      <c r="EL26">
        <f t="shared" si="100"/>
        <v>2</v>
      </c>
      <c r="EM26">
        <f t="shared" si="101"/>
        <v>0</v>
      </c>
      <c r="EN26">
        <f t="shared" si="102"/>
        <v>0</v>
      </c>
      <c r="EO26">
        <f t="shared" si="103"/>
        <v>0</v>
      </c>
      <c r="EP26" t="b">
        <f t="shared" ca="1" si="104"/>
        <v>0</v>
      </c>
      <c r="EQ26" t="b">
        <f t="shared" ca="1" si="105"/>
        <v>1</v>
      </c>
      <c r="ER26" t="b">
        <f t="shared" ca="1" si="106"/>
        <v>0</v>
      </c>
      <c r="ES26">
        <f t="shared" ca="1" si="107"/>
        <v>0</v>
      </c>
      <c r="ET26" t="b">
        <f t="shared" si="108"/>
        <v>0</v>
      </c>
      <c r="EU26" t="b">
        <f t="shared" si="109"/>
        <v>0</v>
      </c>
      <c r="EV26">
        <f t="shared" ca="1" si="110"/>
        <v>0</v>
      </c>
      <c r="EW26" s="6">
        <f t="shared" ca="1" si="111"/>
        <v>1</v>
      </c>
      <c r="EX26">
        <f>MATCH(EX$2,Spieltage!$C$333:$C$341,0)+332</f>
        <v>341</v>
      </c>
      <c r="EY26" t="e">
        <f>MATCH(EX$2,Spieltage!$E$333:$E$341,0)+332</f>
        <v>#N/A</v>
      </c>
      <c r="EZ26">
        <f t="shared" si="112"/>
        <v>341</v>
      </c>
      <c r="FA26">
        <f ca="1">INDIRECT("Spieltage!$F"&amp;'i2'!EZ26)</f>
        <v>0</v>
      </c>
      <c r="FB26" s="35" t="s">
        <v>12</v>
      </c>
      <c r="FC26" s="97">
        <f ca="1">INDIRECT("Spieltage!$H"&amp;'i2'!EZ26)</f>
        <v>0</v>
      </c>
      <c r="FD26" t="str">
        <f t="shared" si="113"/>
        <v>H</v>
      </c>
      <c r="FE26">
        <f t="shared" si="114"/>
        <v>1</v>
      </c>
      <c r="FF26" t="b">
        <f t="shared" ca="1" si="115"/>
        <v>0</v>
      </c>
      <c r="FG26" t="b">
        <f t="shared" ca="1" si="116"/>
        <v>1</v>
      </c>
      <c r="FH26" t="b">
        <f t="shared" ca="1" si="117"/>
        <v>0</v>
      </c>
      <c r="FI26">
        <f t="shared" si="118"/>
        <v>0</v>
      </c>
      <c r="FJ26">
        <f t="shared" si="119"/>
        <v>0</v>
      </c>
      <c r="FK26">
        <f t="shared" si="120"/>
        <v>0</v>
      </c>
      <c r="FL26">
        <f t="shared" ca="1" si="121"/>
        <v>0</v>
      </c>
      <c r="FM26">
        <f t="shared" ca="1" si="122"/>
        <v>0</v>
      </c>
      <c r="FN26">
        <f t="shared" ca="1" si="123"/>
        <v>1</v>
      </c>
      <c r="FO26" t="b">
        <f t="shared" si="124"/>
        <v>0</v>
      </c>
      <c r="FP26" s="6" t="b">
        <f t="shared" si="125"/>
        <v>0</v>
      </c>
      <c r="FQ26">
        <f>MATCH(FQ$2,Spieltage!$C$333:$C$341,0)+332</f>
        <v>340</v>
      </c>
      <c r="FR26" t="e">
        <f>MATCH(FQ$2,Spieltage!$E$333:$E$341,0)+332</f>
        <v>#N/A</v>
      </c>
      <c r="FS26">
        <f t="shared" si="126"/>
        <v>340</v>
      </c>
      <c r="FT26">
        <f ca="1">INDIRECT("Spieltage!$F"&amp;'i2'!FS26)</f>
        <v>0</v>
      </c>
      <c r="FU26" s="35" t="s">
        <v>12</v>
      </c>
      <c r="FV26" s="97">
        <f ca="1">INDIRECT("Spieltage!$H"&amp;'i2'!FS26)</f>
        <v>0</v>
      </c>
      <c r="FW26" t="str">
        <f t="shared" si="127"/>
        <v>H</v>
      </c>
      <c r="FX26">
        <f t="shared" si="128"/>
        <v>1</v>
      </c>
      <c r="FY26" t="b">
        <f t="shared" ca="1" si="129"/>
        <v>0</v>
      </c>
      <c r="FZ26" t="b">
        <f t="shared" ca="1" si="130"/>
        <v>1</v>
      </c>
      <c r="GA26" t="b">
        <f t="shared" ca="1" si="131"/>
        <v>0</v>
      </c>
      <c r="GB26">
        <f t="shared" si="132"/>
        <v>0</v>
      </c>
      <c r="GC26">
        <f t="shared" si="133"/>
        <v>0</v>
      </c>
      <c r="GD26">
        <f t="shared" si="134"/>
        <v>0</v>
      </c>
      <c r="GE26">
        <f t="shared" ca="1" si="135"/>
        <v>0</v>
      </c>
      <c r="GF26">
        <f t="shared" ca="1" si="136"/>
        <v>0</v>
      </c>
      <c r="GG26">
        <f t="shared" ca="1" si="137"/>
        <v>1</v>
      </c>
      <c r="GH26" t="b">
        <f t="shared" si="138"/>
        <v>0</v>
      </c>
      <c r="GI26" s="6" t="b">
        <f t="shared" si="139"/>
        <v>0</v>
      </c>
      <c r="GJ26" t="e">
        <f>MATCH(GJ$2,Spieltage!$C$333:$C$341,0)+332</f>
        <v>#N/A</v>
      </c>
      <c r="GK26">
        <f>MATCH(GJ$2,Spieltage!$E$333:$E$341,0)+332</f>
        <v>338</v>
      </c>
      <c r="GL26">
        <f t="shared" si="140"/>
        <v>338</v>
      </c>
      <c r="GM26">
        <f ca="1">INDIRECT("Spieltage!$F"&amp;'i2'!GL26)</f>
        <v>0</v>
      </c>
      <c r="GN26" s="35" t="s">
        <v>12</v>
      </c>
      <c r="GO26" s="97">
        <f ca="1">INDIRECT("Spieltage!$H"&amp;'i2'!GL26)</f>
        <v>0</v>
      </c>
      <c r="GP26" t="str">
        <f t="shared" si="141"/>
        <v>A</v>
      </c>
      <c r="GQ26">
        <f t="shared" si="142"/>
        <v>2</v>
      </c>
      <c r="GR26">
        <f t="shared" si="143"/>
        <v>0</v>
      </c>
      <c r="GS26">
        <f t="shared" si="144"/>
        <v>0</v>
      </c>
      <c r="GT26">
        <f t="shared" si="145"/>
        <v>0</v>
      </c>
      <c r="GU26" t="b">
        <f t="shared" ca="1" si="146"/>
        <v>0</v>
      </c>
      <c r="GV26" t="b">
        <f t="shared" ca="1" si="147"/>
        <v>1</v>
      </c>
      <c r="GW26" t="b">
        <f t="shared" ca="1" si="148"/>
        <v>0</v>
      </c>
      <c r="GX26">
        <f t="shared" ca="1" si="149"/>
        <v>0</v>
      </c>
      <c r="GY26" t="b">
        <f t="shared" si="150"/>
        <v>0</v>
      </c>
      <c r="GZ26" t="b">
        <f t="shared" si="151"/>
        <v>0</v>
      </c>
      <c r="HA26">
        <f t="shared" ca="1" si="152"/>
        <v>0</v>
      </c>
      <c r="HB26" s="6">
        <f t="shared" ca="1" si="153"/>
        <v>1</v>
      </c>
      <c r="HC26" t="e">
        <f>MATCH(HC$2,Spieltage!$C$333:$C$341,0)+332</f>
        <v>#N/A</v>
      </c>
      <c r="HD26">
        <f>MATCH(HC$2,Spieltage!$E$333:$E$341,0)+332</f>
        <v>341</v>
      </c>
      <c r="HE26">
        <f t="shared" si="154"/>
        <v>341</v>
      </c>
      <c r="HF26">
        <f ca="1">INDIRECT("Spieltage!$F"&amp;'i2'!HE26)</f>
        <v>0</v>
      </c>
      <c r="HG26" s="35" t="s">
        <v>12</v>
      </c>
      <c r="HH26" s="97">
        <f ca="1">INDIRECT("Spieltage!$H"&amp;'i2'!HE26)</f>
        <v>0</v>
      </c>
      <c r="HI26" t="str">
        <f t="shared" si="155"/>
        <v>A</v>
      </c>
      <c r="HJ26">
        <f t="shared" si="156"/>
        <v>2</v>
      </c>
      <c r="HK26">
        <f t="shared" si="157"/>
        <v>0</v>
      </c>
      <c r="HL26">
        <f t="shared" si="158"/>
        <v>0</v>
      </c>
      <c r="HM26">
        <f t="shared" si="159"/>
        <v>0</v>
      </c>
      <c r="HN26" t="b">
        <f t="shared" ca="1" si="160"/>
        <v>0</v>
      </c>
      <c r="HO26" t="b">
        <f t="shared" ca="1" si="161"/>
        <v>1</v>
      </c>
      <c r="HP26" t="b">
        <f t="shared" ca="1" si="162"/>
        <v>0</v>
      </c>
      <c r="HQ26">
        <f t="shared" ca="1" si="163"/>
        <v>0</v>
      </c>
      <c r="HR26" t="b">
        <f t="shared" si="164"/>
        <v>0</v>
      </c>
      <c r="HS26" t="b">
        <f t="shared" si="165"/>
        <v>0</v>
      </c>
      <c r="HT26">
        <f t="shared" ca="1" si="166"/>
        <v>0</v>
      </c>
      <c r="HU26" s="6">
        <f t="shared" ca="1" si="167"/>
        <v>1</v>
      </c>
      <c r="HV26">
        <f>MATCH(HV$2,Spieltage!$C$333:$C$341,0)+332</f>
        <v>333</v>
      </c>
      <c r="HW26" t="e">
        <f>MATCH(HV$2,Spieltage!$E$333:$E$341,0)+332</f>
        <v>#N/A</v>
      </c>
      <c r="HX26">
        <f t="shared" si="168"/>
        <v>333</v>
      </c>
      <c r="HY26">
        <f ca="1">INDIRECT("Spieltage!$F"&amp;'i2'!HX26)</f>
        <v>0</v>
      </c>
      <c r="HZ26" s="35" t="s">
        <v>12</v>
      </c>
      <c r="IA26" s="97">
        <f ca="1">INDIRECT("Spieltage!$H"&amp;'i2'!HX26)</f>
        <v>0</v>
      </c>
      <c r="IB26" t="str">
        <f t="shared" si="169"/>
        <v>H</v>
      </c>
      <c r="IC26">
        <f t="shared" si="170"/>
        <v>1</v>
      </c>
      <c r="ID26" t="b">
        <f t="shared" ca="1" si="171"/>
        <v>0</v>
      </c>
      <c r="IE26" t="b">
        <f t="shared" ca="1" si="172"/>
        <v>1</v>
      </c>
      <c r="IF26" t="b">
        <f t="shared" ca="1" si="173"/>
        <v>0</v>
      </c>
      <c r="IG26">
        <f t="shared" si="174"/>
        <v>0</v>
      </c>
      <c r="IH26">
        <f t="shared" si="175"/>
        <v>0</v>
      </c>
      <c r="II26">
        <f t="shared" si="176"/>
        <v>0</v>
      </c>
      <c r="IJ26">
        <f t="shared" ca="1" si="177"/>
        <v>0</v>
      </c>
      <c r="IK26">
        <f t="shared" ca="1" si="178"/>
        <v>0</v>
      </c>
      <c r="IL26">
        <f t="shared" ca="1" si="179"/>
        <v>1</v>
      </c>
      <c r="IM26" t="b">
        <f t="shared" si="180"/>
        <v>0</v>
      </c>
      <c r="IN26" s="6" t="b">
        <f t="shared" si="181"/>
        <v>0</v>
      </c>
      <c r="IO26" t="e">
        <f>MATCH(IO$2,Spieltage!$C$333:$C$341,0)+332</f>
        <v>#N/A</v>
      </c>
      <c r="IP26">
        <f>MATCH(IO$2,Spieltage!$E$333:$E$341,0)+332</f>
        <v>337</v>
      </c>
      <c r="IQ26">
        <f t="shared" si="182"/>
        <v>337</v>
      </c>
      <c r="IR26">
        <f ca="1">INDIRECT("Spieltage!$F"&amp;'i2'!IQ26)</f>
        <v>0</v>
      </c>
      <c r="IS26" s="35" t="s">
        <v>12</v>
      </c>
      <c r="IT26" s="97">
        <f ca="1">INDIRECT("Spieltage!$H"&amp;'i2'!IQ26)</f>
        <v>0</v>
      </c>
      <c r="IU26" t="str">
        <f t="shared" si="183"/>
        <v>A</v>
      </c>
      <c r="IV26">
        <f t="shared" si="184"/>
        <v>2</v>
      </c>
      <c r="IW26">
        <f t="shared" si="185"/>
        <v>0</v>
      </c>
      <c r="IX26">
        <f t="shared" si="186"/>
        <v>0</v>
      </c>
      <c r="IY26">
        <f t="shared" si="187"/>
        <v>0</v>
      </c>
      <c r="IZ26" t="b">
        <f t="shared" ca="1" si="188"/>
        <v>0</v>
      </c>
      <c r="JA26" t="b">
        <f t="shared" ca="1" si="189"/>
        <v>1</v>
      </c>
      <c r="JB26" t="b">
        <f t="shared" ca="1" si="190"/>
        <v>0</v>
      </c>
      <c r="JC26">
        <f t="shared" ca="1" si="191"/>
        <v>0</v>
      </c>
      <c r="JD26" t="b">
        <f t="shared" si="192"/>
        <v>0</v>
      </c>
      <c r="JE26" t="b">
        <f t="shared" si="193"/>
        <v>0</v>
      </c>
      <c r="JF26">
        <f t="shared" ca="1" si="194"/>
        <v>0</v>
      </c>
      <c r="JG26" s="6">
        <f t="shared" ca="1" si="195"/>
        <v>1</v>
      </c>
      <c r="JH26">
        <f>MATCH(JH$2,Spieltage!$C$333:$C$341,0)+332</f>
        <v>336</v>
      </c>
      <c r="JI26" t="e">
        <f>MATCH(JH$2,Spieltage!$E$333:$E$341,0)+332</f>
        <v>#N/A</v>
      </c>
      <c r="JJ26">
        <f t="shared" si="196"/>
        <v>336</v>
      </c>
      <c r="JK26">
        <f ca="1">INDIRECT("Spieltage!$F"&amp;'i2'!JJ26)</f>
        <v>0</v>
      </c>
      <c r="JL26" s="35" t="s">
        <v>12</v>
      </c>
      <c r="JM26" s="97">
        <f ca="1">INDIRECT("Spieltage!$H"&amp;'i2'!JJ26)</f>
        <v>0</v>
      </c>
      <c r="JN26" t="str">
        <f t="shared" si="197"/>
        <v>H</v>
      </c>
      <c r="JO26">
        <f t="shared" si="198"/>
        <v>1</v>
      </c>
      <c r="JP26" t="b">
        <f t="shared" ca="1" si="199"/>
        <v>0</v>
      </c>
      <c r="JQ26" t="b">
        <f t="shared" ca="1" si="200"/>
        <v>1</v>
      </c>
      <c r="JR26" t="b">
        <f t="shared" ca="1" si="201"/>
        <v>0</v>
      </c>
      <c r="JS26">
        <f t="shared" si="202"/>
        <v>0</v>
      </c>
      <c r="JT26">
        <f t="shared" si="203"/>
        <v>0</v>
      </c>
      <c r="JU26">
        <f t="shared" si="204"/>
        <v>0</v>
      </c>
      <c r="JV26">
        <f t="shared" ca="1" si="205"/>
        <v>0</v>
      </c>
      <c r="JW26">
        <f t="shared" ca="1" si="206"/>
        <v>0</v>
      </c>
      <c r="JX26">
        <f t="shared" ca="1" si="207"/>
        <v>1</v>
      </c>
      <c r="JY26" t="b">
        <f t="shared" si="208"/>
        <v>0</v>
      </c>
      <c r="JZ26" s="6" t="b">
        <f t="shared" si="209"/>
        <v>0</v>
      </c>
      <c r="KA26" t="e">
        <f>MATCH(KA$2,Spieltage!$C$333:$C$341,0)+332</f>
        <v>#N/A</v>
      </c>
      <c r="KB26">
        <f>MATCH(KA$2,Spieltage!$E$333:$E$341,0)+332</f>
        <v>335</v>
      </c>
      <c r="KC26">
        <f t="shared" si="210"/>
        <v>335</v>
      </c>
      <c r="KD26">
        <f ca="1">INDIRECT("Spieltage!$F"&amp;'i2'!KC26)</f>
        <v>0</v>
      </c>
      <c r="KE26" s="35" t="s">
        <v>12</v>
      </c>
      <c r="KF26" s="97">
        <f ca="1">INDIRECT("Spieltage!$H"&amp;'i2'!KC26)</f>
        <v>0</v>
      </c>
      <c r="KG26" t="str">
        <f t="shared" si="211"/>
        <v>A</v>
      </c>
      <c r="KH26">
        <f t="shared" si="212"/>
        <v>2</v>
      </c>
      <c r="KI26">
        <f t="shared" si="213"/>
        <v>0</v>
      </c>
      <c r="KJ26">
        <f t="shared" si="214"/>
        <v>0</v>
      </c>
      <c r="KK26">
        <f t="shared" si="215"/>
        <v>0</v>
      </c>
      <c r="KL26" t="b">
        <f t="shared" ca="1" si="216"/>
        <v>0</v>
      </c>
      <c r="KM26" t="b">
        <f t="shared" ca="1" si="217"/>
        <v>1</v>
      </c>
      <c r="KN26" t="b">
        <f t="shared" ca="1" si="218"/>
        <v>0</v>
      </c>
      <c r="KO26">
        <f t="shared" ca="1" si="219"/>
        <v>0</v>
      </c>
      <c r="KP26" t="b">
        <f t="shared" si="220"/>
        <v>0</v>
      </c>
      <c r="KQ26" t="b">
        <f t="shared" si="221"/>
        <v>0</v>
      </c>
      <c r="KR26">
        <f t="shared" ca="1" si="222"/>
        <v>0</v>
      </c>
      <c r="KS26" s="6">
        <f t="shared" ca="1" si="223"/>
        <v>1</v>
      </c>
      <c r="KT26">
        <f>MATCH(KT$2,Spieltage!$C$333:$C$341,0)+332</f>
        <v>337</v>
      </c>
      <c r="KU26" t="e">
        <f>MATCH(KT$2,Spieltage!$E$333:$E$341,0)+332</f>
        <v>#N/A</v>
      </c>
      <c r="KV26">
        <f t="shared" si="224"/>
        <v>337</v>
      </c>
      <c r="KW26">
        <f ca="1">INDIRECT("Spieltage!$F"&amp;'i2'!KV26)</f>
        <v>0</v>
      </c>
      <c r="KX26" s="35" t="s">
        <v>12</v>
      </c>
      <c r="KY26" s="97">
        <f ca="1">INDIRECT("Spieltage!$H"&amp;'i2'!KV26)</f>
        <v>0</v>
      </c>
      <c r="KZ26" t="str">
        <f t="shared" si="225"/>
        <v>H</v>
      </c>
      <c r="LA26">
        <f t="shared" si="226"/>
        <v>1</v>
      </c>
      <c r="LB26" t="b">
        <f t="shared" ca="1" si="227"/>
        <v>0</v>
      </c>
      <c r="LC26" t="b">
        <f t="shared" ca="1" si="228"/>
        <v>1</v>
      </c>
      <c r="LD26" t="b">
        <f t="shared" ca="1" si="229"/>
        <v>0</v>
      </c>
      <c r="LE26">
        <f t="shared" si="230"/>
        <v>0</v>
      </c>
      <c r="LF26">
        <f t="shared" si="231"/>
        <v>0</v>
      </c>
      <c r="LG26">
        <f t="shared" si="232"/>
        <v>0</v>
      </c>
      <c r="LH26">
        <f t="shared" ca="1" si="233"/>
        <v>0</v>
      </c>
      <c r="LI26">
        <f t="shared" ca="1" si="234"/>
        <v>0</v>
      </c>
      <c r="LJ26">
        <f t="shared" ca="1" si="235"/>
        <v>1</v>
      </c>
      <c r="LK26" t="b">
        <f t="shared" si="236"/>
        <v>0</v>
      </c>
      <c r="LL26" s="6" t="b">
        <f t="shared" si="237"/>
        <v>0</v>
      </c>
      <c r="LM26">
        <f>MATCH(LM$2,Spieltage!$C$333:$C$341,0)+332</f>
        <v>339</v>
      </c>
      <c r="LN26" t="e">
        <f>MATCH(LM$2,Spieltage!$E$333:$E$341,0)+332</f>
        <v>#N/A</v>
      </c>
      <c r="LO26">
        <f t="shared" si="238"/>
        <v>339</v>
      </c>
      <c r="LP26">
        <f ca="1">INDIRECT("Spieltage!$F"&amp;'i2'!LO26)</f>
        <v>0</v>
      </c>
      <c r="LQ26" s="35" t="s">
        <v>12</v>
      </c>
      <c r="LR26" s="97">
        <f ca="1">INDIRECT("Spieltage!$H"&amp;'i2'!LO26)</f>
        <v>0</v>
      </c>
      <c r="LS26" t="str">
        <f t="shared" si="239"/>
        <v>H</v>
      </c>
      <c r="LT26">
        <f t="shared" si="240"/>
        <v>1</v>
      </c>
      <c r="LU26" t="b">
        <f t="shared" ca="1" si="241"/>
        <v>0</v>
      </c>
      <c r="LV26" t="b">
        <f t="shared" ca="1" si="242"/>
        <v>1</v>
      </c>
      <c r="LW26" t="b">
        <f t="shared" ca="1" si="243"/>
        <v>0</v>
      </c>
      <c r="LX26">
        <f t="shared" si="244"/>
        <v>0</v>
      </c>
      <c r="LY26">
        <f t="shared" si="245"/>
        <v>0</v>
      </c>
      <c r="LZ26">
        <f t="shared" si="246"/>
        <v>0</v>
      </c>
      <c r="MA26">
        <f t="shared" ca="1" si="247"/>
        <v>0</v>
      </c>
      <c r="MB26">
        <f t="shared" ca="1" si="248"/>
        <v>0</v>
      </c>
      <c r="MC26">
        <f t="shared" ca="1" si="249"/>
        <v>1</v>
      </c>
      <c r="MD26" t="b">
        <f t="shared" si="250"/>
        <v>0</v>
      </c>
      <c r="ME26" s="6" t="b">
        <f t="shared" si="251"/>
        <v>0</v>
      </c>
    </row>
    <row r="27" spans="1:343" x14ac:dyDescent="0.2">
      <c r="A27" s="104" t="s">
        <v>235</v>
      </c>
      <c r="B27" t="e">
        <f>MATCH(B$2,Spieltage!$C$348:$C$356,0)+347</f>
        <v>#N/A</v>
      </c>
      <c r="C27">
        <f>MATCH(B$2,Spieltage!$E$348:$E$356,0)+347</f>
        <v>348</v>
      </c>
      <c r="D27">
        <f t="shared" si="0"/>
        <v>348</v>
      </c>
      <c r="E27">
        <f ca="1">INDIRECT("Spieltage!$F"&amp;'i2'!D27)</f>
        <v>0</v>
      </c>
      <c r="F27" s="35" t="s">
        <v>12</v>
      </c>
      <c r="G27" s="97">
        <f ca="1">INDIRECT("Spieltage!$H"&amp;'i2'!D27)</f>
        <v>0</v>
      </c>
      <c r="H27" t="str">
        <f t="shared" si="1"/>
        <v>A</v>
      </c>
      <c r="I27">
        <f t="shared" si="2"/>
        <v>2</v>
      </c>
      <c r="J27">
        <f t="shared" si="3"/>
        <v>0</v>
      </c>
      <c r="K27">
        <f t="shared" si="4"/>
        <v>0</v>
      </c>
      <c r="L27">
        <f t="shared" si="5"/>
        <v>0</v>
      </c>
      <c r="M27" t="b">
        <f t="shared" ca="1" si="6"/>
        <v>0</v>
      </c>
      <c r="N27" t="b">
        <f t="shared" ca="1" si="7"/>
        <v>1</v>
      </c>
      <c r="O27" t="b">
        <f t="shared" ca="1" si="8"/>
        <v>0</v>
      </c>
      <c r="P27">
        <f t="shared" ca="1" si="9"/>
        <v>0</v>
      </c>
      <c r="Q27" t="b">
        <f t="shared" si="10"/>
        <v>0</v>
      </c>
      <c r="R27" t="b">
        <f t="shared" si="11"/>
        <v>0</v>
      </c>
      <c r="S27">
        <f t="shared" ca="1" si="12"/>
        <v>0</v>
      </c>
      <c r="T27" s="6">
        <f t="shared" ca="1" si="13"/>
        <v>1</v>
      </c>
      <c r="U27" t="e">
        <f>MATCH(U$2,Spieltage!$C$348:$C$356,0)+347</f>
        <v>#N/A</v>
      </c>
      <c r="V27">
        <f>MATCH(U$2,Spieltage!$E$348:$E$356,0)+347</f>
        <v>351</v>
      </c>
      <c r="W27">
        <f t="shared" si="14"/>
        <v>351</v>
      </c>
      <c r="X27">
        <f ca="1">INDIRECT("Spieltage!$F"&amp;'i2'!W27)</f>
        <v>0</v>
      </c>
      <c r="Y27" s="35" t="s">
        <v>12</v>
      </c>
      <c r="Z27" s="97">
        <f ca="1">INDIRECT("Spieltage!$H"&amp;'i2'!W27)</f>
        <v>0</v>
      </c>
      <c r="AA27" t="str">
        <f t="shared" si="15"/>
        <v>A</v>
      </c>
      <c r="AB27">
        <f t="shared" si="16"/>
        <v>2</v>
      </c>
      <c r="AC27">
        <f t="shared" si="17"/>
        <v>0</v>
      </c>
      <c r="AD27">
        <f t="shared" si="18"/>
        <v>0</v>
      </c>
      <c r="AE27">
        <f t="shared" si="19"/>
        <v>0</v>
      </c>
      <c r="AF27" t="b">
        <f t="shared" ca="1" si="20"/>
        <v>0</v>
      </c>
      <c r="AG27" t="b">
        <f t="shared" ca="1" si="21"/>
        <v>1</v>
      </c>
      <c r="AH27" t="b">
        <f t="shared" ca="1" si="22"/>
        <v>0</v>
      </c>
      <c r="AI27">
        <f t="shared" ca="1" si="23"/>
        <v>0</v>
      </c>
      <c r="AJ27" t="b">
        <f t="shared" si="24"/>
        <v>0</v>
      </c>
      <c r="AK27" t="b">
        <f t="shared" si="25"/>
        <v>0</v>
      </c>
      <c r="AL27">
        <f t="shared" ca="1" si="26"/>
        <v>0</v>
      </c>
      <c r="AM27" s="6">
        <f t="shared" ca="1" si="27"/>
        <v>1</v>
      </c>
      <c r="AN27">
        <f>MATCH(AN$2,Spieltage!$C$348:$C$356,0)+347</f>
        <v>350</v>
      </c>
      <c r="AO27" t="e">
        <f>MATCH(AN$2,Spieltage!$E$348:$E$356,0)+347</f>
        <v>#N/A</v>
      </c>
      <c r="AP27">
        <f t="shared" si="28"/>
        <v>350</v>
      </c>
      <c r="AQ27">
        <f ca="1">INDIRECT("Spieltage!$F"&amp;'i2'!AP27)</f>
        <v>0</v>
      </c>
      <c r="AR27" s="35" t="s">
        <v>12</v>
      </c>
      <c r="AS27" s="97">
        <f ca="1">INDIRECT("Spieltage!$H"&amp;'i2'!AP27)</f>
        <v>0</v>
      </c>
      <c r="AT27" t="str">
        <f t="shared" si="29"/>
        <v>H</v>
      </c>
      <c r="AU27">
        <f t="shared" si="30"/>
        <v>1</v>
      </c>
      <c r="AV27" t="b">
        <f t="shared" ca="1" si="31"/>
        <v>0</v>
      </c>
      <c r="AW27" t="b">
        <f t="shared" ca="1" si="32"/>
        <v>1</v>
      </c>
      <c r="AX27" t="b">
        <f t="shared" ca="1" si="33"/>
        <v>0</v>
      </c>
      <c r="AY27">
        <f t="shared" si="34"/>
        <v>0</v>
      </c>
      <c r="AZ27">
        <f t="shared" si="35"/>
        <v>0</v>
      </c>
      <c r="BA27">
        <f t="shared" si="36"/>
        <v>0</v>
      </c>
      <c r="BB27">
        <f t="shared" ca="1" si="37"/>
        <v>0</v>
      </c>
      <c r="BC27">
        <f t="shared" ca="1" si="38"/>
        <v>0</v>
      </c>
      <c r="BD27">
        <f t="shared" ca="1" si="39"/>
        <v>1</v>
      </c>
      <c r="BE27" t="b">
        <f t="shared" si="40"/>
        <v>0</v>
      </c>
      <c r="BF27" s="6" t="b">
        <f t="shared" si="41"/>
        <v>0</v>
      </c>
      <c r="BG27">
        <f>MATCH(BG$2,Spieltage!$C$348:$C$356,0)+347</f>
        <v>354</v>
      </c>
      <c r="BH27" t="e">
        <f>MATCH(BG$2,Spieltage!$E$348:$E$356,0)+347</f>
        <v>#N/A</v>
      </c>
      <c r="BI27">
        <f t="shared" si="42"/>
        <v>354</v>
      </c>
      <c r="BJ27">
        <f ca="1">INDIRECT("Spieltage!$F"&amp;'i2'!BI27)</f>
        <v>0</v>
      </c>
      <c r="BK27" s="35" t="s">
        <v>12</v>
      </c>
      <c r="BL27" s="97">
        <f ca="1">INDIRECT("Spieltage!$H"&amp;'i2'!BI27)</f>
        <v>0</v>
      </c>
      <c r="BM27" t="str">
        <f t="shared" si="43"/>
        <v>H</v>
      </c>
      <c r="BN27">
        <f t="shared" si="44"/>
        <v>1</v>
      </c>
      <c r="BO27" t="b">
        <f t="shared" ca="1" si="45"/>
        <v>0</v>
      </c>
      <c r="BP27" t="b">
        <f t="shared" ca="1" si="46"/>
        <v>1</v>
      </c>
      <c r="BQ27" t="b">
        <f t="shared" ca="1" si="47"/>
        <v>0</v>
      </c>
      <c r="BR27">
        <f t="shared" si="48"/>
        <v>0</v>
      </c>
      <c r="BS27">
        <f t="shared" si="49"/>
        <v>0</v>
      </c>
      <c r="BT27">
        <f t="shared" si="50"/>
        <v>0</v>
      </c>
      <c r="BU27">
        <f t="shared" ca="1" si="51"/>
        <v>0</v>
      </c>
      <c r="BV27">
        <f t="shared" ca="1" si="52"/>
        <v>0</v>
      </c>
      <c r="BW27">
        <f t="shared" ca="1" si="53"/>
        <v>1</v>
      </c>
      <c r="BX27" t="b">
        <f t="shared" si="54"/>
        <v>0</v>
      </c>
      <c r="BY27" s="6" t="b">
        <f t="shared" si="55"/>
        <v>0</v>
      </c>
      <c r="BZ27">
        <f>MATCH(BZ$2,Spieltage!$C$348:$C$356,0)+347</f>
        <v>349</v>
      </c>
      <c r="CA27" t="e">
        <f>MATCH(BZ$2,Spieltage!$E$348:$E$356,0)+347</f>
        <v>#N/A</v>
      </c>
      <c r="CB27">
        <f t="shared" si="56"/>
        <v>349</v>
      </c>
      <c r="CC27">
        <f ca="1">INDIRECT("Spieltage!$F"&amp;'i2'!CB27)</f>
        <v>0</v>
      </c>
      <c r="CD27" s="35" t="s">
        <v>12</v>
      </c>
      <c r="CE27" s="97">
        <f ca="1">INDIRECT("Spieltage!$H"&amp;'i2'!CB27)</f>
        <v>0</v>
      </c>
      <c r="CF27" t="str">
        <f t="shared" si="57"/>
        <v>H</v>
      </c>
      <c r="CG27">
        <f t="shared" si="58"/>
        <v>1</v>
      </c>
      <c r="CH27" t="b">
        <f t="shared" ca="1" si="59"/>
        <v>0</v>
      </c>
      <c r="CI27" t="b">
        <f t="shared" ca="1" si="60"/>
        <v>1</v>
      </c>
      <c r="CJ27" t="b">
        <f t="shared" ca="1" si="61"/>
        <v>0</v>
      </c>
      <c r="CK27">
        <f t="shared" si="62"/>
        <v>0</v>
      </c>
      <c r="CL27">
        <f t="shared" si="63"/>
        <v>0</v>
      </c>
      <c r="CM27">
        <f t="shared" si="64"/>
        <v>0</v>
      </c>
      <c r="CN27">
        <f t="shared" ca="1" si="65"/>
        <v>0</v>
      </c>
      <c r="CO27">
        <f t="shared" ca="1" si="66"/>
        <v>0</v>
      </c>
      <c r="CP27">
        <f t="shared" ca="1" si="67"/>
        <v>1</v>
      </c>
      <c r="CQ27" t="b">
        <f t="shared" si="68"/>
        <v>0</v>
      </c>
      <c r="CR27" s="6" t="b">
        <f t="shared" si="69"/>
        <v>0</v>
      </c>
      <c r="CS27">
        <f>MATCH(CS$2,Spieltage!$C$348:$C$356,0)+347</f>
        <v>355</v>
      </c>
      <c r="CT27" t="e">
        <f>MATCH(CS$2,Spieltage!$E$348:$E$356,0)+347</f>
        <v>#N/A</v>
      </c>
      <c r="CU27">
        <f t="shared" si="70"/>
        <v>355</v>
      </c>
      <c r="CV27">
        <f ca="1">INDIRECT("Spieltage!$F"&amp;'i2'!CU27)</f>
        <v>0</v>
      </c>
      <c r="CW27" s="35" t="s">
        <v>12</v>
      </c>
      <c r="CX27" s="97">
        <f ca="1">INDIRECT("Spieltage!$H"&amp;'i2'!CU27)</f>
        <v>0</v>
      </c>
      <c r="CY27" t="str">
        <f t="shared" si="71"/>
        <v>H</v>
      </c>
      <c r="CZ27">
        <f t="shared" si="72"/>
        <v>1</v>
      </c>
      <c r="DA27" t="b">
        <f t="shared" ca="1" si="73"/>
        <v>0</v>
      </c>
      <c r="DB27" t="b">
        <f t="shared" ca="1" si="74"/>
        <v>1</v>
      </c>
      <c r="DC27" t="b">
        <f t="shared" ca="1" si="75"/>
        <v>0</v>
      </c>
      <c r="DD27">
        <f t="shared" si="76"/>
        <v>0</v>
      </c>
      <c r="DE27">
        <f t="shared" si="77"/>
        <v>0</v>
      </c>
      <c r="DF27">
        <f t="shared" si="78"/>
        <v>0</v>
      </c>
      <c r="DG27">
        <f t="shared" ca="1" si="79"/>
        <v>0</v>
      </c>
      <c r="DH27">
        <f t="shared" ca="1" si="80"/>
        <v>0</v>
      </c>
      <c r="DI27">
        <f t="shared" ca="1" si="81"/>
        <v>1</v>
      </c>
      <c r="DJ27" t="b">
        <f t="shared" si="82"/>
        <v>0</v>
      </c>
      <c r="DK27" s="6" t="b">
        <f t="shared" si="83"/>
        <v>0</v>
      </c>
      <c r="DL27" t="e">
        <f>MATCH(DL$2,Spieltage!$C$348:$C$356,0)+347</f>
        <v>#N/A</v>
      </c>
      <c r="DM27">
        <f>MATCH(DL$2,Spieltage!$E$348:$E$356,0)+347</f>
        <v>349</v>
      </c>
      <c r="DN27">
        <f t="shared" si="84"/>
        <v>349</v>
      </c>
      <c r="DO27">
        <f ca="1">INDIRECT("Spieltage!$F"&amp;'i2'!DN27)</f>
        <v>0</v>
      </c>
      <c r="DP27" s="35" t="s">
        <v>12</v>
      </c>
      <c r="DQ27" s="97">
        <f ca="1">INDIRECT("Spieltage!$H"&amp;'i2'!DN27)</f>
        <v>0</v>
      </c>
      <c r="DR27" t="str">
        <f t="shared" si="85"/>
        <v>A</v>
      </c>
      <c r="DS27">
        <f t="shared" si="86"/>
        <v>2</v>
      </c>
      <c r="DT27">
        <f t="shared" si="87"/>
        <v>0</v>
      </c>
      <c r="DU27">
        <f t="shared" si="88"/>
        <v>0</v>
      </c>
      <c r="DV27">
        <f t="shared" si="89"/>
        <v>0</v>
      </c>
      <c r="DW27" t="b">
        <f t="shared" ca="1" si="90"/>
        <v>0</v>
      </c>
      <c r="DX27" t="b">
        <f t="shared" ca="1" si="91"/>
        <v>1</v>
      </c>
      <c r="DY27" t="b">
        <f t="shared" ca="1" si="92"/>
        <v>0</v>
      </c>
      <c r="DZ27">
        <f t="shared" ca="1" si="93"/>
        <v>0</v>
      </c>
      <c r="EA27" t="b">
        <f t="shared" si="94"/>
        <v>0</v>
      </c>
      <c r="EB27" t="b">
        <f t="shared" si="95"/>
        <v>0</v>
      </c>
      <c r="EC27">
        <f t="shared" ca="1" si="96"/>
        <v>0</v>
      </c>
      <c r="ED27" s="6">
        <f t="shared" ca="1" si="97"/>
        <v>1</v>
      </c>
      <c r="EE27">
        <f>MATCH(EE$2,Spieltage!$C$348:$C$356,0)+347</f>
        <v>356</v>
      </c>
      <c r="EF27" t="e">
        <f>MATCH(EE$2,Spieltage!$E$348:$E$356,0)+347</f>
        <v>#N/A</v>
      </c>
      <c r="EG27">
        <f t="shared" si="98"/>
        <v>356</v>
      </c>
      <c r="EH27">
        <f ca="1">INDIRECT("Spieltage!$F"&amp;'i2'!EG27)</f>
        <v>0</v>
      </c>
      <c r="EI27" s="35" t="s">
        <v>12</v>
      </c>
      <c r="EJ27" s="97">
        <f ca="1">INDIRECT("Spieltage!$H"&amp;'i2'!EG27)</f>
        <v>0</v>
      </c>
      <c r="EK27" t="str">
        <f t="shared" si="99"/>
        <v>H</v>
      </c>
      <c r="EL27">
        <f t="shared" si="100"/>
        <v>1</v>
      </c>
      <c r="EM27" t="b">
        <f t="shared" ca="1" si="101"/>
        <v>0</v>
      </c>
      <c r="EN27" t="b">
        <f t="shared" ca="1" si="102"/>
        <v>1</v>
      </c>
      <c r="EO27" t="b">
        <f t="shared" ca="1" si="103"/>
        <v>0</v>
      </c>
      <c r="EP27">
        <f t="shared" si="104"/>
        <v>0</v>
      </c>
      <c r="EQ27">
        <f t="shared" si="105"/>
        <v>0</v>
      </c>
      <c r="ER27">
        <f t="shared" si="106"/>
        <v>0</v>
      </c>
      <c r="ES27">
        <f t="shared" ca="1" si="107"/>
        <v>0</v>
      </c>
      <c r="ET27">
        <f t="shared" ca="1" si="108"/>
        <v>0</v>
      </c>
      <c r="EU27">
        <f t="shared" ca="1" si="109"/>
        <v>1</v>
      </c>
      <c r="EV27" t="b">
        <f t="shared" si="110"/>
        <v>0</v>
      </c>
      <c r="EW27" s="6" t="b">
        <f t="shared" si="111"/>
        <v>0</v>
      </c>
      <c r="EX27" t="e">
        <f>MATCH(EX$2,Spieltage!$C$348:$C$356,0)+347</f>
        <v>#N/A</v>
      </c>
      <c r="EY27">
        <f>MATCH(EX$2,Spieltage!$E$348:$E$356,0)+347</f>
        <v>350</v>
      </c>
      <c r="EZ27">
        <f t="shared" si="112"/>
        <v>350</v>
      </c>
      <c r="FA27">
        <f ca="1">INDIRECT("Spieltage!$F"&amp;'i2'!EZ27)</f>
        <v>0</v>
      </c>
      <c r="FB27" s="35" t="s">
        <v>12</v>
      </c>
      <c r="FC27" s="97">
        <f ca="1">INDIRECT("Spieltage!$H"&amp;'i2'!EZ27)</f>
        <v>0</v>
      </c>
      <c r="FD27" t="str">
        <f t="shared" si="113"/>
        <v>A</v>
      </c>
      <c r="FE27">
        <f t="shared" si="114"/>
        <v>2</v>
      </c>
      <c r="FF27">
        <f t="shared" si="115"/>
        <v>0</v>
      </c>
      <c r="FG27">
        <f t="shared" si="116"/>
        <v>0</v>
      </c>
      <c r="FH27">
        <f t="shared" si="117"/>
        <v>0</v>
      </c>
      <c r="FI27" t="b">
        <f t="shared" ca="1" si="118"/>
        <v>0</v>
      </c>
      <c r="FJ27" t="b">
        <f t="shared" ca="1" si="119"/>
        <v>1</v>
      </c>
      <c r="FK27" t="b">
        <f t="shared" ca="1" si="120"/>
        <v>0</v>
      </c>
      <c r="FL27">
        <f t="shared" ca="1" si="121"/>
        <v>0</v>
      </c>
      <c r="FM27" t="b">
        <f t="shared" si="122"/>
        <v>0</v>
      </c>
      <c r="FN27" t="b">
        <f t="shared" si="123"/>
        <v>0</v>
      </c>
      <c r="FO27">
        <f t="shared" ca="1" si="124"/>
        <v>0</v>
      </c>
      <c r="FP27" s="6">
        <f t="shared" ca="1" si="125"/>
        <v>1</v>
      </c>
      <c r="FQ27" t="e">
        <f>MATCH(FQ$2,Spieltage!$C$348:$C$356,0)+347</f>
        <v>#N/A</v>
      </c>
      <c r="FR27">
        <f>MATCH(FQ$2,Spieltage!$E$348:$E$356,0)+347</f>
        <v>356</v>
      </c>
      <c r="FS27">
        <f t="shared" si="126"/>
        <v>356</v>
      </c>
      <c r="FT27">
        <f ca="1">INDIRECT("Spieltage!$F"&amp;'i2'!FS27)</f>
        <v>0</v>
      </c>
      <c r="FU27" s="35" t="s">
        <v>12</v>
      </c>
      <c r="FV27" s="97">
        <f ca="1">INDIRECT("Spieltage!$H"&amp;'i2'!FS27)</f>
        <v>0</v>
      </c>
      <c r="FW27" t="str">
        <f t="shared" si="127"/>
        <v>A</v>
      </c>
      <c r="FX27">
        <f t="shared" si="128"/>
        <v>2</v>
      </c>
      <c r="FY27">
        <f t="shared" si="129"/>
        <v>0</v>
      </c>
      <c r="FZ27">
        <f t="shared" si="130"/>
        <v>0</v>
      </c>
      <c r="GA27">
        <f t="shared" si="131"/>
        <v>0</v>
      </c>
      <c r="GB27" t="b">
        <f t="shared" ca="1" si="132"/>
        <v>0</v>
      </c>
      <c r="GC27" t="b">
        <f t="shared" ca="1" si="133"/>
        <v>1</v>
      </c>
      <c r="GD27" t="b">
        <f t="shared" ca="1" si="134"/>
        <v>0</v>
      </c>
      <c r="GE27">
        <f t="shared" ca="1" si="135"/>
        <v>0</v>
      </c>
      <c r="GF27" t="b">
        <f t="shared" si="136"/>
        <v>0</v>
      </c>
      <c r="GG27" t="b">
        <f t="shared" si="137"/>
        <v>0</v>
      </c>
      <c r="GH27">
        <f t="shared" ca="1" si="138"/>
        <v>0</v>
      </c>
      <c r="GI27" s="6">
        <f t="shared" ca="1" si="139"/>
        <v>1</v>
      </c>
      <c r="GJ27">
        <f>MATCH(GJ$2,Spieltage!$C$348:$C$356,0)+347</f>
        <v>353</v>
      </c>
      <c r="GK27" t="e">
        <f>MATCH(GJ$2,Spieltage!$E$348:$E$356,0)+347</f>
        <v>#N/A</v>
      </c>
      <c r="GL27">
        <f t="shared" si="140"/>
        <v>353</v>
      </c>
      <c r="GM27">
        <f ca="1">INDIRECT("Spieltage!$F"&amp;'i2'!GL27)</f>
        <v>0</v>
      </c>
      <c r="GN27" s="35" t="s">
        <v>12</v>
      </c>
      <c r="GO27" s="97">
        <f ca="1">INDIRECT("Spieltage!$H"&amp;'i2'!GL27)</f>
        <v>0</v>
      </c>
      <c r="GP27" t="str">
        <f t="shared" si="141"/>
        <v>H</v>
      </c>
      <c r="GQ27">
        <f t="shared" si="142"/>
        <v>1</v>
      </c>
      <c r="GR27" t="b">
        <f t="shared" ca="1" si="143"/>
        <v>0</v>
      </c>
      <c r="GS27" t="b">
        <f t="shared" ca="1" si="144"/>
        <v>1</v>
      </c>
      <c r="GT27" t="b">
        <f t="shared" ca="1" si="145"/>
        <v>0</v>
      </c>
      <c r="GU27">
        <f t="shared" si="146"/>
        <v>0</v>
      </c>
      <c r="GV27">
        <f t="shared" si="147"/>
        <v>0</v>
      </c>
      <c r="GW27">
        <f t="shared" si="148"/>
        <v>0</v>
      </c>
      <c r="GX27">
        <f t="shared" ca="1" si="149"/>
        <v>0</v>
      </c>
      <c r="GY27">
        <f t="shared" ca="1" si="150"/>
        <v>0</v>
      </c>
      <c r="GZ27">
        <f t="shared" ca="1" si="151"/>
        <v>1</v>
      </c>
      <c r="HA27" t="b">
        <f t="shared" si="152"/>
        <v>0</v>
      </c>
      <c r="HB27" s="6" t="b">
        <f t="shared" si="153"/>
        <v>0</v>
      </c>
      <c r="HC27">
        <f>MATCH(HC$2,Spieltage!$C$348:$C$356,0)+347</f>
        <v>351</v>
      </c>
      <c r="HD27" t="e">
        <f>MATCH(HC$2,Spieltage!$E$348:$E$356,0)+347</f>
        <v>#N/A</v>
      </c>
      <c r="HE27">
        <f t="shared" si="154"/>
        <v>351</v>
      </c>
      <c r="HF27">
        <f ca="1">INDIRECT("Spieltage!$F"&amp;'i2'!HE27)</f>
        <v>0</v>
      </c>
      <c r="HG27" s="35" t="s">
        <v>12</v>
      </c>
      <c r="HH27" s="97">
        <f ca="1">INDIRECT("Spieltage!$H"&amp;'i2'!HE27)</f>
        <v>0</v>
      </c>
      <c r="HI27" t="str">
        <f t="shared" si="155"/>
        <v>H</v>
      </c>
      <c r="HJ27">
        <f t="shared" si="156"/>
        <v>1</v>
      </c>
      <c r="HK27" t="b">
        <f t="shared" ca="1" si="157"/>
        <v>0</v>
      </c>
      <c r="HL27" t="b">
        <f t="shared" ca="1" si="158"/>
        <v>1</v>
      </c>
      <c r="HM27" t="b">
        <f t="shared" ca="1" si="159"/>
        <v>0</v>
      </c>
      <c r="HN27">
        <f t="shared" si="160"/>
        <v>0</v>
      </c>
      <c r="HO27">
        <f t="shared" si="161"/>
        <v>0</v>
      </c>
      <c r="HP27">
        <f t="shared" si="162"/>
        <v>0</v>
      </c>
      <c r="HQ27">
        <f t="shared" ca="1" si="163"/>
        <v>0</v>
      </c>
      <c r="HR27">
        <f t="shared" ca="1" si="164"/>
        <v>0</v>
      </c>
      <c r="HS27">
        <f t="shared" ca="1" si="165"/>
        <v>1</v>
      </c>
      <c r="HT27" t="b">
        <f t="shared" si="166"/>
        <v>0</v>
      </c>
      <c r="HU27" s="6" t="b">
        <f t="shared" si="167"/>
        <v>0</v>
      </c>
      <c r="HV27" t="e">
        <f>MATCH(HV$2,Spieltage!$C$348:$C$356,0)+347</f>
        <v>#N/A</v>
      </c>
      <c r="HW27">
        <f>MATCH(HV$2,Spieltage!$E$348:$E$356,0)+347</f>
        <v>353</v>
      </c>
      <c r="HX27">
        <f t="shared" si="168"/>
        <v>353</v>
      </c>
      <c r="HY27">
        <f ca="1">INDIRECT("Spieltage!$F"&amp;'i2'!HX27)</f>
        <v>0</v>
      </c>
      <c r="HZ27" s="35" t="s">
        <v>12</v>
      </c>
      <c r="IA27" s="97">
        <f ca="1">INDIRECT("Spieltage!$H"&amp;'i2'!HX27)</f>
        <v>0</v>
      </c>
      <c r="IB27" t="str">
        <f t="shared" si="169"/>
        <v>A</v>
      </c>
      <c r="IC27">
        <f t="shared" si="170"/>
        <v>2</v>
      </c>
      <c r="ID27">
        <f t="shared" si="171"/>
        <v>0</v>
      </c>
      <c r="IE27">
        <f t="shared" si="172"/>
        <v>0</v>
      </c>
      <c r="IF27">
        <f t="shared" si="173"/>
        <v>0</v>
      </c>
      <c r="IG27" t="b">
        <f t="shared" ca="1" si="174"/>
        <v>0</v>
      </c>
      <c r="IH27" t="b">
        <f t="shared" ca="1" si="175"/>
        <v>1</v>
      </c>
      <c r="II27" t="b">
        <f t="shared" ca="1" si="176"/>
        <v>0</v>
      </c>
      <c r="IJ27">
        <f t="shared" ca="1" si="177"/>
        <v>0</v>
      </c>
      <c r="IK27" t="b">
        <f t="shared" si="178"/>
        <v>0</v>
      </c>
      <c r="IL27" t="b">
        <f t="shared" si="179"/>
        <v>0</v>
      </c>
      <c r="IM27">
        <f t="shared" ca="1" si="180"/>
        <v>0</v>
      </c>
      <c r="IN27" s="6">
        <f t="shared" ca="1" si="181"/>
        <v>1</v>
      </c>
      <c r="IO27">
        <f>MATCH(IO$2,Spieltage!$C$348:$C$356,0)+347</f>
        <v>352</v>
      </c>
      <c r="IP27" t="e">
        <f>MATCH(IO$2,Spieltage!$E$348:$E$356,0)+347</f>
        <v>#N/A</v>
      </c>
      <c r="IQ27">
        <f t="shared" si="182"/>
        <v>352</v>
      </c>
      <c r="IR27">
        <f ca="1">INDIRECT("Spieltage!$F"&amp;'i2'!IQ27)</f>
        <v>0</v>
      </c>
      <c r="IS27" s="35" t="s">
        <v>12</v>
      </c>
      <c r="IT27" s="97">
        <f ca="1">INDIRECT("Spieltage!$H"&amp;'i2'!IQ27)</f>
        <v>0</v>
      </c>
      <c r="IU27" t="str">
        <f t="shared" si="183"/>
        <v>H</v>
      </c>
      <c r="IV27">
        <f t="shared" si="184"/>
        <v>1</v>
      </c>
      <c r="IW27" t="b">
        <f t="shared" ca="1" si="185"/>
        <v>0</v>
      </c>
      <c r="IX27" t="b">
        <f t="shared" ca="1" si="186"/>
        <v>1</v>
      </c>
      <c r="IY27" t="b">
        <f t="shared" ca="1" si="187"/>
        <v>0</v>
      </c>
      <c r="IZ27">
        <f t="shared" si="188"/>
        <v>0</v>
      </c>
      <c r="JA27">
        <f t="shared" si="189"/>
        <v>0</v>
      </c>
      <c r="JB27">
        <f t="shared" si="190"/>
        <v>0</v>
      </c>
      <c r="JC27">
        <f t="shared" ca="1" si="191"/>
        <v>0</v>
      </c>
      <c r="JD27">
        <f t="shared" ca="1" si="192"/>
        <v>0</v>
      </c>
      <c r="JE27">
        <f t="shared" ca="1" si="193"/>
        <v>1</v>
      </c>
      <c r="JF27" t="b">
        <f t="shared" si="194"/>
        <v>0</v>
      </c>
      <c r="JG27" s="6" t="b">
        <f t="shared" si="195"/>
        <v>0</v>
      </c>
      <c r="JH27" t="e">
        <f>MATCH(JH$2,Spieltage!$C$348:$C$356,0)+347</f>
        <v>#N/A</v>
      </c>
      <c r="JI27">
        <f>MATCH(JH$2,Spieltage!$E$348:$E$356,0)+347</f>
        <v>354</v>
      </c>
      <c r="JJ27">
        <f t="shared" si="196"/>
        <v>354</v>
      </c>
      <c r="JK27">
        <f ca="1">INDIRECT("Spieltage!$F"&amp;'i2'!JJ27)</f>
        <v>0</v>
      </c>
      <c r="JL27" s="35" t="s">
        <v>12</v>
      </c>
      <c r="JM27" s="97">
        <f ca="1">INDIRECT("Spieltage!$H"&amp;'i2'!JJ27)</f>
        <v>0</v>
      </c>
      <c r="JN27" t="str">
        <f t="shared" si="197"/>
        <v>A</v>
      </c>
      <c r="JO27">
        <f t="shared" si="198"/>
        <v>2</v>
      </c>
      <c r="JP27">
        <f t="shared" si="199"/>
        <v>0</v>
      </c>
      <c r="JQ27">
        <f t="shared" si="200"/>
        <v>0</v>
      </c>
      <c r="JR27">
        <f t="shared" si="201"/>
        <v>0</v>
      </c>
      <c r="JS27" t="b">
        <f t="shared" ca="1" si="202"/>
        <v>0</v>
      </c>
      <c r="JT27" t="b">
        <f t="shared" ca="1" si="203"/>
        <v>1</v>
      </c>
      <c r="JU27" t="b">
        <f t="shared" ca="1" si="204"/>
        <v>0</v>
      </c>
      <c r="JV27">
        <f t="shared" ca="1" si="205"/>
        <v>0</v>
      </c>
      <c r="JW27" t="b">
        <f t="shared" si="206"/>
        <v>0</v>
      </c>
      <c r="JX27" t="b">
        <f t="shared" si="207"/>
        <v>0</v>
      </c>
      <c r="JY27">
        <f t="shared" ca="1" si="208"/>
        <v>0</v>
      </c>
      <c r="JZ27" s="6">
        <f t="shared" ca="1" si="209"/>
        <v>1</v>
      </c>
      <c r="KA27">
        <f>MATCH(KA$2,Spieltage!$C$348:$C$356,0)+347</f>
        <v>348</v>
      </c>
      <c r="KB27" t="e">
        <f>MATCH(KA$2,Spieltage!$E$348:$E$356,0)+347</f>
        <v>#N/A</v>
      </c>
      <c r="KC27">
        <f t="shared" si="210"/>
        <v>348</v>
      </c>
      <c r="KD27">
        <f ca="1">INDIRECT("Spieltage!$F"&amp;'i2'!KC27)</f>
        <v>0</v>
      </c>
      <c r="KE27" s="35" t="s">
        <v>12</v>
      </c>
      <c r="KF27" s="97">
        <f ca="1">INDIRECT("Spieltage!$H"&amp;'i2'!KC27)</f>
        <v>0</v>
      </c>
      <c r="KG27" t="str">
        <f t="shared" si="211"/>
        <v>H</v>
      </c>
      <c r="KH27">
        <f t="shared" si="212"/>
        <v>1</v>
      </c>
      <c r="KI27" t="b">
        <f t="shared" ca="1" si="213"/>
        <v>0</v>
      </c>
      <c r="KJ27" t="b">
        <f t="shared" ca="1" si="214"/>
        <v>1</v>
      </c>
      <c r="KK27" t="b">
        <f t="shared" ca="1" si="215"/>
        <v>0</v>
      </c>
      <c r="KL27">
        <f t="shared" si="216"/>
        <v>0</v>
      </c>
      <c r="KM27">
        <f t="shared" si="217"/>
        <v>0</v>
      </c>
      <c r="KN27">
        <f t="shared" si="218"/>
        <v>0</v>
      </c>
      <c r="KO27">
        <f t="shared" ca="1" si="219"/>
        <v>0</v>
      </c>
      <c r="KP27">
        <f t="shared" ca="1" si="220"/>
        <v>0</v>
      </c>
      <c r="KQ27">
        <f t="shared" ca="1" si="221"/>
        <v>1</v>
      </c>
      <c r="KR27" t="b">
        <f t="shared" si="222"/>
        <v>0</v>
      </c>
      <c r="KS27" s="6" t="b">
        <f t="shared" si="223"/>
        <v>0</v>
      </c>
      <c r="KT27" t="e">
        <f>MATCH(KT$2,Spieltage!$C$348:$C$356,0)+347</f>
        <v>#N/A</v>
      </c>
      <c r="KU27">
        <f>MATCH(KT$2,Spieltage!$E$348:$E$356,0)+347</f>
        <v>355</v>
      </c>
      <c r="KV27">
        <f t="shared" si="224"/>
        <v>355</v>
      </c>
      <c r="KW27">
        <f ca="1">INDIRECT("Spieltage!$F"&amp;'i2'!KV27)</f>
        <v>0</v>
      </c>
      <c r="KX27" s="35" t="s">
        <v>12</v>
      </c>
      <c r="KY27" s="97">
        <f ca="1">INDIRECT("Spieltage!$H"&amp;'i2'!KV27)</f>
        <v>0</v>
      </c>
      <c r="KZ27" t="str">
        <f t="shared" si="225"/>
        <v>A</v>
      </c>
      <c r="LA27">
        <f t="shared" si="226"/>
        <v>2</v>
      </c>
      <c r="LB27">
        <f t="shared" si="227"/>
        <v>0</v>
      </c>
      <c r="LC27">
        <f t="shared" si="228"/>
        <v>0</v>
      </c>
      <c r="LD27">
        <f t="shared" si="229"/>
        <v>0</v>
      </c>
      <c r="LE27" t="b">
        <f t="shared" ca="1" si="230"/>
        <v>0</v>
      </c>
      <c r="LF27" t="b">
        <f t="shared" ca="1" si="231"/>
        <v>1</v>
      </c>
      <c r="LG27" t="b">
        <f t="shared" ca="1" si="232"/>
        <v>0</v>
      </c>
      <c r="LH27">
        <f t="shared" ca="1" si="233"/>
        <v>0</v>
      </c>
      <c r="LI27" t="b">
        <f t="shared" si="234"/>
        <v>0</v>
      </c>
      <c r="LJ27" t="b">
        <f t="shared" si="235"/>
        <v>0</v>
      </c>
      <c r="LK27">
        <f t="shared" ca="1" si="236"/>
        <v>0</v>
      </c>
      <c r="LL27" s="6">
        <f t="shared" ca="1" si="237"/>
        <v>1</v>
      </c>
      <c r="LM27" t="e">
        <f>MATCH(LM$2,Spieltage!$C$348:$C$356,0)+347</f>
        <v>#N/A</v>
      </c>
      <c r="LN27">
        <f>MATCH(LM$2,Spieltage!$E$348:$E$356,0)+347</f>
        <v>352</v>
      </c>
      <c r="LO27">
        <f t="shared" si="238"/>
        <v>352</v>
      </c>
      <c r="LP27">
        <f ca="1">INDIRECT("Spieltage!$F"&amp;'i2'!LO27)</f>
        <v>0</v>
      </c>
      <c r="LQ27" s="35" t="s">
        <v>12</v>
      </c>
      <c r="LR27" s="97">
        <f ca="1">INDIRECT("Spieltage!$H"&amp;'i2'!LO27)</f>
        <v>0</v>
      </c>
      <c r="LS27" t="str">
        <f t="shared" si="239"/>
        <v>A</v>
      </c>
      <c r="LT27">
        <f t="shared" si="240"/>
        <v>2</v>
      </c>
      <c r="LU27">
        <f t="shared" si="241"/>
        <v>0</v>
      </c>
      <c r="LV27">
        <f t="shared" si="242"/>
        <v>0</v>
      </c>
      <c r="LW27">
        <f t="shared" si="243"/>
        <v>0</v>
      </c>
      <c r="LX27" t="b">
        <f t="shared" ca="1" si="244"/>
        <v>0</v>
      </c>
      <c r="LY27" t="b">
        <f t="shared" ca="1" si="245"/>
        <v>1</v>
      </c>
      <c r="LZ27" t="b">
        <f t="shared" ca="1" si="246"/>
        <v>0</v>
      </c>
      <c r="MA27">
        <f t="shared" ca="1" si="247"/>
        <v>0</v>
      </c>
      <c r="MB27" t="b">
        <f t="shared" si="248"/>
        <v>0</v>
      </c>
      <c r="MC27" t="b">
        <f t="shared" si="249"/>
        <v>0</v>
      </c>
      <c r="MD27">
        <f t="shared" ca="1" si="250"/>
        <v>0</v>
      </c>
      <c r="ME27" s="6">
        <f t="shared" ca="1" si="251"/>
        <v>1</v>
      </c>
    </row>
    <row r="28" spans="1:343" x14ac:dyDescent="0.2">
      <c r="A28" s="104" t="s">
        <v>236</v>
      </c>
      <c r="B28">
        <f>MATCH(B$2,Spieltage!$C$363:$C$371,0)+362</f>
        <v>368</v>
      </c>
      <c r="C28" t="e">
        <f>MATCH(B$2,Spieltage!$E$363:$E$371,0)+362</f>
        <v>#N/A</v>
      </c>
      <c r="D28">
        <f t="shared" si="0"/>
        <v>368</v>
      </c>
      <c r="E28">
        <f ca="1">INDIRECT("Spieltage!$F"&amp;'i2'!D28)</f>
        <v>0</v>
      </c>
      <c r="F28" s="35" t="s">
        <v>12</v>
      </c>
      <c r="G28" s="97">
        <f ca="1">INDIRECT("Spieltage!$H"&amp;'i2'!D28)</f>
        <v>0</v>
      </c>
      <c r="H28" t="str">
        <f t="shared" si="1"/>
        <v>H</v>
      </c>
      <c r="I28">
        <f t="shared" si="2"/>
        <v>1</v>
      </c>
      <c r="J28" t="b">
        <f t="shared" ca="1" si="3"/>
        <v>0</v>
      </c>
      <c r="K28" t="b">
        <f t="shared" ca="1" si="4"/>
        <v>1</v>
      </c>
      <c r="L28" t="b">
        <f t="shared" ca="1" si="5"/>
        <v>0</v>
      </c>
      <c r="M28">
        <f t="shared" si="6"/>
        <v>0</v>
      </c>
      <c r="N28">
        <f t="shared" si="7"/>
        <v>0</v>
      </c>
      <c r="O28">
        <f t="shared" si="8"/>
        <v>0</v>
      </c>
      <c r="P28">
        <f t="shared" ca="1" si="9"/>
        <v>0</v>
      </c>
      <c r="Q28">
        <f t="shared" ca="1" si="10"/>
        <v>0</v>
      </c>
      <c r="R28">
        <f t="shared" ca="1" si="11"/>
        <v>1</v>
      </c>
      <c r="S28" t="b">
        <f t="shared" si="12"/>
        <v>0</v>
      </c>
      <c r="T28" s="6" t="b">
        <f t="shared" si="13"/>
        <v>0</v>
      </c>
      <c r="U28">
        <f>MATCH(U$2,Spieltage!$C$363:$C$371,0)+362</f>
        <v>369</v>
      </c>
      <c r="V28" t="e">
        <f>MATCH(U$2,Spieltage!$E$363:$E$371,0)+362</f>
        <v>#N/A</v>
      </c>
      <c r="W28">
        <f t="shared" si="14"/>
        <v>369</v>
      </c>
      <c r="X28">
        <f ca="1">INDIRECT("Spieltage!$F"&amp;'i2'!W28)</f>
        <v>0</v>
      </c>
      <c r="Y28" s="35" t="s">
        <v>12</v>
      </c>
      <c r="Z28" s="97">
        <f ca="1">INDIRECT("Spieltage!$H"&amp;'i2'!W28)</f>
        <v>0</v>
      </c>
      <c r="AA28" t="str">
        <f t="shared" si="15"/>
        <v>H</v>
      </c>
      <c r="AB28">
        <f t="shared" si="16"/>
        <v>1</v>
      </c>
      <c r="AC28" t="b">
        <f t="shared" ca="1" si="17"/>
        <v>0</v>
      </c>
      <c r="AD28" t="b">
        <f t="shared" ca="1" si="18"/>
        <v>1</v>
      </c>
      <c r="AE28" t="b">
        <f t="shared" ca="1" si="19"/>
        <v>0</v>
      </c>
      <c r="AF28">
        <f t="shared" si="20"/>
        <v>0</v>
      </c>
      <c r="AG28">
        <f t="shared" si="21"/>
        <v>0</v>
      </c>
      <c r="AH28">
        <f t="shared" si="22"/>
        <v>0</v>
      </c>
      <c r="AI28">
        <f t="shared" ca="1" si="23"/>
        <v>0</v>
      </c>
      <c r="AJ28">
        <f t="shared" ca="1" si="24"/>
        <v>0</v>
      </c>
      <c r="AK28">
        <f t="shared" ca="1" si="25"/>
        <v>1</v>
      </c>
      <c r="AL28" t="b">
        <f t="shared" si="26"/>
        <v>0</v>
      </c>
      <c r="AM28" s="6" t="b">
        <f t="shared" si="27"/>
        <v>0</v>
      </c>
      <c r="AN28" t="e">
        <f>MATCH(AN$2,Spieltage!$C$363:$C$371,0)+362</f>
        <v>#N/A</v>
      </c>
      <c r="AO28">
        <f>MATCH(AN$2,Spieltage!$E$363:$E$371,0)+362</f>
        <v>363</v>
      </c>
      <c r="AP28">
        <f t="shared" si="28"/>
        <v>363</v>
      </c>
      <c r="AQ28">
        <f ca="1">INDIRECT("Spieltage!$F"&amp;'i2'!AP28)</f>
        <v>0</v>
      </c>
      <c r="AR28" s="35" t="s">
        <v>12</v>
      </c>
      <c r="AS28" s="97">
        <f ca="1">INDIRECT("Spieltage!$H"&amp;'i2'!AP28)</f>
        <v>0</v>
      </c>
      <c r="AT28" t="str">
        <f t="shared" si="29"/>
        <v>A</v>
      </c>
      <c r="AU28">
        <f t="shared" si="30"/>
        <v>2</v>
      </c>
      <c r="AV28">
        <f t="shared" si="31"/>
        <v>0</v>
      </c>
      <c r="AW28">
        <f t="shared" si="32"/>
        <v>0</v>
      </c>
      <c r="AX28">
        <f t="shared" si="33"/>
        <v>0</v>
      </c>
      <c r="AY28" t="b">
        <f t="shared" ca="1" si="34"/>
        <v>0</v>
      </c>
      <c r="AZ28" t="b">
        <f t="shared" ca="1" si="35"/>
        <v>1</v>
      </c>
      <c r="BA28" t="b">
        <f t="shared" ca="1" si="36"/>
        <v>0</v>
      </c>
      <c r="BB28">
        <f t="shared" ca="1" si="37"/>
        <v>0</v>
      </c>
      <c r="BC28" t="b">
        <f t="shared" si="38"/>
        <v>0</v>
      </c>
      <c r="BD28" t="b">
        <f t="shared" si="39"/>
        <v>0</v>
      </c>
      <c r="BE28">
        <f t="shared" ca="1" si="40"/>
        <v>0</v>
      </c>
      <c r="BF28" s="6">
        <f t="shared" ca="1" si="41"/>
        <v>1</v>
      </c>
      <c r="BG28" t="e">
        <f>MATCH(BG$2,Spieltage!$C$363:$C$371,0)+362</f>
        <v>#N/A</v>
      </c>
      <c r="BH28">
        <f>MATCH(BG$2,Spieltage!$E$363:$E$371,0)+362</f>
        <v>370</v>
      </c>
      <c r="BI28">
        <f t="shared" si="42"/>
        <v>370</v>
      </c>
      <c r="BJ28">
        <f ca="1">INDIRECT("Spieltage!$F"&amp;'i2'!BI28)</f>
        <v>0</v>
      </c>
      <c r="BK28" s="35" t="s">
        <v>12</v>
      </c>
      <c r="BL28" s="97">
        <f ca="1">INDIRECT("Spieltage!$H"&amp;'i2'!BI28)</f>
        <v>0</v>
      </c>
      <c r="BM28" t="str">
        <f t="shared" si="43"/>
        <v>A</v>
      </c>
      <c r="BN28">
        <f t="shared" si="44"/>
        <v>2</v>
      </c>
      <c r="BO28">
        <f t="shared" si="45"/>
        <v>0</v>
      </c>
      <c r="BP28">
        <f t="shared" si="46"/>
        <v>0</v>
      </c>
      <c r="BQ28">
        <f t="shared" si="47"/>
        <v>0</v>
      </c>
      <c r="BR28" t="b">
        <f t="shared" ca="1" si="48"/>
        <v>0</v>
      </c>
      <c r="BS28" t="b">
        <f t="shared" ca="1" si="49"/>
        <v>1</v>
      </c>
      <c r="BT28" t="b">
        <f t="shared" ca="1" si="50"/>
        <v>0</v>
      </c>
      <c r="BU28">
        <f t="shared" ca="1" si="51"/>
        <v>0</v>
      </c>
      <c r="BV28" t="b">
        <f t="shared" si="52"/>
        <v>0</v>
      </c>
      <c r="BW28" t="b">
        <f t="shared" si="53"/>
        <v>0</v>
      </c>
      <c r="BX28">
        <f t="shared" ca="1" si="54"/>
        <v>0</v>
      </c>
      <c r="BY28" s="6">
        <f t="shared" ca="1" si="55"/>
        <v>1</v>
      </c>
      <c r="BZ28" t="e">
        <f>MATCH(BZ$2,Spieltage!$C$363:$C$371,0)+362</f>
        <v>#N/A</v>
      </c>
      <c r="CA28">
        <f>MATCH(BZ$2,Spieltage!$E$363:$E$371,0)+362</f>
        <v>364</v>
      </c>
      <c r="CB28">
        <f t="shared" si="56"/>
        <v>364</v>
      </c>
      <c r="CC28">
        <f ca="1">INDIRECT("Spieltage!$F"&amp;'i2'!CB28)</f>
        <v>0</v>
      </c>
      <c r="CD28" s="35" t="s">
        <v>12</v>
      </c>
      <c r="CE28" s="97">
        <f ca="1">INDIRECT("Spieltage!$H"&amp;'i2'!CB28)</f>
        <v>0</v>
      </c>
      <c r="CF28" t="str">
        <f t="shared" si="57"/>
        <v>A</v>
      </c>
      <c r="CG28">
        <f t="shared" si="58"/>
        <v>2</v>
      </c>
      <c r="CH28">
        <f t="shared" si="59"/>
        <v>0</v>
      </c>
      <c r="CI28">
        <f t="shared" si="60"/>
        <v>0</v>
      </c>
      <c r="CJ28">
        <f t="shared" si="61"/>
        <v>0</v>
      </c>
      <c r="CK28" t="b">
        <f t="shared" ca="1" si="62"/>
        <v>0</v>
      </c>
      <c r="CL28" t="b">
        <f t="shared" ca="1" si="63"/>
        <v>1</v>
      </c>
      <c r="CM28" t="b">
        <f t="shared" ca="1" si="64"/>
        <v>0</v>
      </c>
      <c r="CN28">
        <f t="shared" ca="1" si="65"/>
        <v>0</v>
      </c>
      <c r="CO28" t="b">
        <f t="shared" si="66"/>
        <v>0</v>
      </c>
      <c r="CP28" t="b">
        <f t="shared" si="67"/>
        <v>0</v>
      </c>
      <c r="CQ28">
        <f t="shared" ca="1" si="68"/>
        <v>0</v>
      </c>
      <c r="CR28" s="6">
        <f t="shared" ca="1" si="69"/>
        <v>1</v>
      </c>
      <c r="CS28" t="e">
        <f>MATCH(CS$2,Spieltage!$C$363:$C$371,0)+362</f>
        <v>#N/A</v>
      </c>
      <c r="CT28">
        <f>MATCH(CS$2,Spieltage!$E$363:$E$371,0)+362</f>
        <v>366</v>
      </c>
      <c r="CU28">
        <f t="shared" si="70"/>
        <v>366</v>
      </c>
      <c r="CV28">
        <f ca="1">INDIRECT("Spieltage!$F"&amp;'i2'!CU28)</f>
        <v>0</v>
      </c>
      <c r="CW28" s="35" t="s">
        <v>12</v>
      </c>
      <c r="CX28" s="97">
        <f ca="1">INDIRECT("Spieltage!$H"&amp;'i2'!CU28)</f>
        <v>0</v>
      </c>
      <c r="CY28" t="str">
        <f t="shared" si="71"/>
        <v>A</v>
      </c>
      <c r="CZ28">
        <f t="shared" si="72"/>
        <v>2</v>
      </c>
      <c r="DA28">
        <f t="shared" si="73"/>
        <v>0</v>
      </c>
      <c r="DB28">
        <f t="shared" si="74"/>
        <v>0</v>
      </c>
      <c r="DC28">
        <f t="shared" si="75"/>
        <v>0</v>
      </c>
      <c r="DD28" t="b">
        <f t="shared" ca="1" si="76"/>
        <v>0</v>
      </c>
      <c r="DE28" t="b">
        <f t="shared" ca="1" si="77"/>
        <v>1</v>
      </c>
      <c r="DF28" t="b">
        <f t="shared" ca="1" si="78"/>
        <v>0</v>
      </c>
      <c r="DG28">
        <f t="shared" ca="1" si="79"/>
        <v>0</v>
      </c>
      <c r="DH28" t="b">
        <f t="shared" si="80"/>
        <v>0</v>
      </c>
      <c r="DI28" t="b">
        <f t="shared" si="81"/>
        <v>0</v>
      </c>
      <c r="DJ28">
        <f t="shared" ca="1" si="82"/>
        <v>0</v>
      </c>
      <c r="DK28" s="6">
        <f t="shared" ca="1" si="83"/>
        <v>1</v>
      </c>
      <c r="DL28">
        <f>MATCH(DL$2,Spieltage!$C$363:$C$371,0)+362</f>
        <v>363</v>
      </c>
      <c r="DM28" t="e">
        <f>MATCH(DL$2,Spieltage!$E$363:$E$371,0)+362</f>
        <v>#N/A</v>
      </c>
      <c r="DN28">
        <f t="shared" si="84"/>
        <v>363</v>
      </c>
      <c r="DO28">
        <f ca="1">INDIRECT("Spieltage!$F"&amp;'i2'!DN28)</f>
        <v>0</v>
      </c>
      <c r="DP28" s="35" t="s">
        <v>12</v>
      </c>
      <c r="DQ28" s="97">
        <f ca="1">INDIRECT("Spieltage!$H"&amp;'i2'!DN28)</f>
        <v>0</v>
      </c>
      <c r="DR28" t="str">
        <f t="shared" si="85"/>
        <v>H</v>
      </c>
      <c r="DS28">
        <f t="shared" si="86"/>
        <v>1</v>
      </c>
      <c r="DT28" t="b">
        <f t="shared" ca="1" si="87"/>
        <v>0</v>
      </c>
      <c r="DU28" t="b">
        <f t="shared" ca="1" si="88"/>
        <v>1</v>
      </c>
      <c r="DV28" t="b">
        <f t="shared" ca="1" si="89"/>
        <v>0</v>
      </c>
      <c r="DW28">
        <f t="shared" si="90"/>
        <v>0</v>
      </c>
      <c r="DX28">
        <f t="shared" si="91"/>
        <v>0</v>
      </c>
      <c r="DY28">
        <f t="shared" si="92"/>
        <v>0</v>
      </c>
      <c r="DZ28">
        <f t="shared" ca="1" si="93"/>
        <v>0</v>
      </c>
      <c r="EA28">
        <f t="shared" ca="1" si="94"/>
        <v>0</v>
      </c>
      <c r="EB28">
        <f t="shared" ca="1" si="95"/>
        <v>1</v>
      </c>
      <c r="EC28" t="b">
        <f t="shared" si="96"/>
        <v>0</v>
      </c>
      <c r="ED28" s="6" t="b">
        <f t="shared" si="97"/>
        <v>0</v>
      </c>
      <c r="EE28" t="e">
        <f>MATCH(EE$2,Spieltage!$C$363:$C$371,0)+362</f>
        <v>#N/A</v>
      </c>
      <c r="EF28">
        <f>MATCH(EE$2,Spieltage!$E$363:$E$371,0)+362</f>
        <v>369</v>
      </c>
      <c r="EG28">
        <f t="shared" si="98"/>
        <v>369</v>
      </c>
      <c r="EH28">
        <f ca="1">INDIRECT("Spieltage!$F"&amp;'i2'!EG28)</f>
        <v>0</v>
      </c>
      <c r="EI28" s="35" t="s">
        <v>12</v>
      </c>
      <c r="EJ28" s="97">
        <f ca="1">INDIRECT("Spieltage!$H"&amp;'i2'!EG28)</f>
        <v>0</v>
      </c>
      <c r="EK28" t="str">
        <f t="shared" si="99"/>
        <v>A</v>
      </c>
      <c r="EL28">
        <f t="shared" si="100"/>
        <v>2</v>
      </c>
      <c r="EM28">
        <f t="shared" si="101"/>
        <v>0</v>
      </c>
      <c r="EN28">
        <f t="shared" si="102"/>
        <v>0</v>
      </c>
      <c r="EO28">
        <f t="shared" si="103"/>
        <v>0</v>
      </c>
      <c r="EP28" t="b">
        <f t="shared" ca="1" si="104"/>
        <v>0</v>
      </c>
      <c r="EQ28" t="b">
        <f t="shared" ca="1" si="105"/>
        <v>1</v>
      </c>
      <c r="ER28" t="b">
        <f t="shared" ca="1" si="106"/>
        <v>0</v>
      </c>
      <c r="ES28">
        <f t="shared" ca="1" si="107"/>
        <v>0</v>
      </c>
      <c r="ET28" t="b">
        <f t="shared" si="108"/>
        <v>0</v>
      </c>
      <c r="EU28" t="b">
        <f t="shared" si="109"/>
        <v>0</v>
      </c>
      <c r="EV28">
        <f t="shared" ca="1" si="110"/>
        <v>0</v>
      </c>
      <c r="EW28" s="6">
        <f t="shared" ca="1" si="111"/>
        <v>1</v>
      </c>
      <c r="EX28">
        <f>MATCH(EX$2,Spieltage!$C$363:$C$371,0)+362</f>
        <v>367</v>
      </c>
      <c r="EY28" t="e">
        <f>MATCH(EX$2,Spieltage!$E$363:$E$371,0)+362</f>
        <v>#N/A</v>
      </c>
      <c r="EZ28">
        <f t="shared" si="112"/>
        <v>367</v>
      </c>
      <c r="FA28">
        <f ca="1">INDIRECT("Spieltage!$F"&amp;'i2'!EZ28)</f>
        <v>0</v>
      </c>
      <c r="FB28" s="35" t="s">
        <v>12</v>
      </c>
      <c r="FC28" s="97">
        <f ca="1">INDIRECT("Spieltage!$H"&amp;'i2'!EZ28)</f>
        <v>0</v>
      </c>
      <c r="FD28" t="str">
        <f t="shared" si="113"/>
        <v>H</v>
      </c>
      <c r="FE28">
        <f t="shared" si="114"/>
        <v>1</v>
      </c>
      <c r="FF28" t="b">
        <f t="shared" ca="1" si="115"/>
        <v>0</v>
      </c>
      <c r="FG28" t="b">
        <f t="shared" ca="1" si="116"/>
        <v>1</v>
      </c>
      <c r="FH28" t="b">
        <f t="shared" ca="1" si="117"/>
        <v>0</v>
      </c>
      <c r="FI28">
        <f t="shared" si="118"/>
        <v>0</v>
      </c>
      <c r="FJ28">
        <f t="shared" si="119"/>
        <v>0</v>
      </c>
      <c r="FK28">
        <f t="shared" si="120"/>
        <v>0</v>
      </c>
      <c r="FL28">
        <f t="shared" ca="1" si="121"/>
        <v>0</v>
      </c>
      <c r="FM28">
        <f t="shared" ca="1" si="122"/>
        <v>0</v>
      </c>
      <c r="FN28">
        <f t="shared" ca="1" si="123"/>
        <v>1</v>
      </c>
      <c r="FO28" t="b">
        <f t="shared" si="124"/>
        <v>0</v>
      </c>
      <c r="FP28" s="6" t="b">
        <f t="shared" si="125"/>
        <v>0</v>
      </c>
      <c r="FQ28">
        <f>MATCH(FQ$2,Spieltage!$C$363:$C$371,0)+362</f>
        <v>365</v>
      </c>
      <c r="FR28" t="e">
        <f>MATCH(FQ$2,Spieltage!$E$363:$E$371,0)+362</f>
        <v>#N/A</v>
      </c>
      <c r="FS28">
        <f t="shared" si="126"/>
        <v>365</v>
      </c>
      <c r="FT28">
        <f ca="1">INDIRECT("Spieltage!$F"&amp;'i2'!FS28)</f>
        <v>0</v>
      </c>
      <c r="FU28" s="35" t="s">
        <v>12</v>
      </c>
      <c r="FV28" s="97">
        <f ca="1">INDIRECT("Spieltage!$H"&amp;'i2'!FS28)</f>
        <v>0</v>
      </c>
      <c r="FW28" t="str">
        <f t="shared" si="127"/>
        <v>H</v>
      </c>
      <c r="FX28">
        <f t="shared" si="128"/>
        <v>1</v>
      </c>
      <c r="FY28" t="b">
        <f t="shared" ca="1" si="129"/>
        <v>0</v>
      </c>
      <c r="FZ28" t="b">
        <f t="shared" ca="1" si="130"/>
        <v>1</v>
      </c>
      <c r="GA28" t="b">
        <f t="shared" ca="1" si="131"/>
        <v>0</v>
      </c>
      <c r="GB28">
        <f t="shared" si="132"/>
        <v>0</v>
      </c>
      <c r="GC28">
        <f t="shared" si="133"/>
        <v>0</v>
      </c>
      <c r="GD28">
        <f t="shared" si="134"/>
        <v>0</v>
      </c>
      <c r="GE28">
        <f t="shared" ca="1" si="135"/>
        <v>0</v>
      </c>
      <c r="GF28">
        <f t="shared" ca="1" si="136"/>
        <v>0</v>
      </c>
      <c r="GG28">
        <f t="shared" ca="1" si="137"/>
        <v>1</v>
      </c>
      <c r="GH28" t="b">
        <f t="shared" si="138"/>
        <v>0</v>
      </c>
      <c r="GI28" s="6" t="b">
        <f t="shared" si="139"/>
        <v>0</v>
      </c>
      <c r="GJ28" t="e">
        <f>MATCH(GJ$2,Spieltage!$C$363:$C$371,0)+362</f>
        <v>#N/A</v>
      </c>
      <c r="GK28">
        <f>MATCH(GJ$2,Spieltage!$E$363:$E$371,0)+362</f>
        <v>368</v>
      </c>
      <c r="GL28">
        <f t="shared" si="140"/>
        <v>368</v>
      </c>
      <c r="GM28">
        <f ca="1">INDIRECT("Spieltage!$F"&amp;'i2'!GL28)</f>
        <v>0</v>
      </c>
      <c r="GN28" s="35" t="s">
        <v>12</v>
      </c>
      <c r="GO28" s="97">
        <f ca="1">INDIRECT("Spieltage!$H"&amp;'i2'!GL28)</f>
        <v>0</v>
      </c>
      <c r="GP28" t="str">
        <f t="shared" si="141"/>
        <v>A</v>
      </c>
      <c r="GQ28">
        <f t="shared" si="142"/>
        <v>2</v>
      </c>
      <c r="GR28">
        <f t="shared" si="143"/>
        <v>0</v>
      </c>
      <c r="GS28">
        <f t="shared" si="144"/>
        <v>0</v>
      </c>
      <c r="GT28">
        <f t="shared" si="145"/>
        <v>0</v>
      </c>
      <c r="GU28" t="b">
        <f t="shared" ca="1" si="146"/>
        <v>0</v>
      </c>
      <c r="GV28" t="b">
        <f t="shared" ca="1" si="147"/>
        <v>1</v>
      </c>
      <c r="GW28" t="b">
        <f t="shared" ca="1" si="148"/>
        <v>0</v>
      </c>
      <c r="GX28">
        <f t="shared" ca="1" si="149"/>
        <v>0</v>
      </c>
      <c r="GY28" t="b">
        <f t="shared" si="150"/>
        <v>0</v>
      </c>
      <c r="GZ28" t="b">
        <f t="shared" si="151"/>
        <v>0</v>
      </c>
      <c r="HA28">
        <f t="shared" ca="1" si="152"/>
        <v>0</v>
      </c>
      <c r="HB28" s="6">
        <f t="shared" ca="1" si="153"/>
        <v>1</v>
      </c>
      <c r="HC28" t="e">
        <f>MATCH(HC$2,Spieltage!$C$363:$C$371,0)+362</f>
        <v>#N/A</v>
      </c>
      <c r="HD28">
        <f>MATCH(HC$2,Spieltage!$E$363:$E$371,0)+362</f>
        <v>371</v>
      </c>
      <c r="HE28">
        <f t="shared" si="154"/>
        <v>371</v>
      </c>
      <c r="HF28">
        <f ca="1">INDIRECT("Spieltage!$F"&amp;'i2'!HE28)</f>
        <v>0</v>
      </c>
      <c r="HG28" s="35" t="s">
        <v>12</v>
      </c>
      <c r="HH28" s="97">
        <f ca="1">INDIRECT("Spieltage!$H"&amp;'i2'!HE28)</f>
        <v>0</v>
      </c>
      <c r="HI28" t="str">
        <f t="shared" si="155"/>
        <v>A</v>
      </c>
      <c r="HJ28">
        <f t="shared" si="156"/>
        <v>2</v>
      </c>
      <c r="HK28">
        <f t="shared" si="157"/>
        <v>0</v>
      </c>
      <c r="HL28">
        <f t="shared" si="158"/>
        <v>0</v>
      </c>
      <c r="HM28">
        <f t="shared" si="159"/>
        <v>0</v>
      </c>
      <c r="HN28" t="b">
        <f t="shared" ca="1" si="160"/>
        <v>0</v>
      </c>
      <c r="HO28" t="b">
        <f t="shared" ca="1" si="161"/>
        <v>1</v>
      </c>
      <c r="HP28" t="b">
        <f t="shared" ca="1" si="162"/>
        <v>0</v>
      </c>
      <c r="HQ28">
        <f t="shared" ca="1" si="163"/>
        <v>0</v>
      </c>
      <c r="HR28" t="b">
        <f t="shared" si="164"/>
        <v>0</v>
      </c>
      <c r="HS28" t="b">
        <f t="shared" si="165"/>
        <v>0</v>
      </c>
      <c r="HT28">
        <f t="shared" ca="1" si="166"/>
        <v>0</v>
      </c>
      <c r="HU28" s="6">
        <f t="shared" ca="1" si="167"/>
        <v>1</v>
      </c>
      <c r="HV28">
        <f>MATCH(HV$2,Spieltage!$C$363:$C$371,0)+362</f>
        <v>366</v>
      </c>
      <c r="HW28" t="e">
        <f>MATCH(HV$2,Spieltage!$E$363:$E$371,0)+362</f>
        <v>#N/A</v>
      </c>
      <c r="HX28">
        <f t="shared" si="168"/>
        <v>366</v>
      </c>
      <c r="HY28">
        <f ca="1">INDIRECT("Spieltage!$F"&amp;'i2'!HX28)</f>
        <v>0</v>
      </c>
      <c r="HZ28" s="35" t="s">
        <v>12</v>
      </c>
      <c r="IA28" s="97">
        <f ca="1">INDIRECT("Spieltage!$H"&amp;'i2'!HX28)</f>
        <v>0</v>
      </c>
      <c r="IB28" t="str">
        <f t="shared" si="169"/>
        <v>H</v>
      </c>
      <c r="IC28">
        <f t="shared" si="170"/>
        <v>1</v>
      </c>
      <c r="ID28" t="b">
        <f t="shared" ca="1" si="171"/>
        <v>0</v>
      </c>
      <c r="IE28" t="b">
        <f t="shared" ca="1" si="172"/>
        <v>1</v>
      </c>
      <c r="IF28" t="b">
        <f t="shared" ca="1" si="173"/>
        <v>0</v>
      </c>
      <c r="IG28">
        <f t="shared" si="174"/>
        <v>0</v>
      </c>
      <c r="IH28">
        <f t="shared" si="175"/>
        <v>0</v>
      </c>
      <c r="II28">
        <f t="shared" si="176"/>
        <v>0</v>
      </c>
      <c r="IJ28">
        <f t="shared" ca="1" si="177"/>
        <v>0</v>
      </c>
      <c r="IK28">
        <f t="shared" ca="1" si="178"/>
        <v>0</v>
      </c>
      <c r="IL28">
        <f t="shared" ca="1" si="179"/>
        <v>1</v>
      </c>
      <c r="IM28" t="b">
        <f t="shared" si="180"/>
        <v>0</v>
      </c>
      <c r="IN28" s="6" t="b">
        <f t="shared" si="181"/>
        <v>0</v>
      </c>
      <c r="IO28" t="e">
        <f>MATCH(IO$2,Spieltage!$C$363:$C$371,0)+362</f>
        <v>#N/A</v>
      </c>
      <c r="IP28">
        <f>MATCH(IO$2,Spieltage!$E$363:$E$371,0)+362</f>
        <v>367</v>
      </c>
      <c r="IQ28">
        <f t="shared" si="182"/>
        <v>367</v>
      </c>
      <c r="IR28">
        <f ca="1">INDIRECT("Spieltage!$F"&amp;'i2'!IQ28)</f>
        <v>0</v>
      </c>
      <c r="IS28" s="35" t="s">
        <v>12</v>
      </c>
      <c r="IT28" s="97">
        <f ca="1">INDIRECT("Spieltage!$H"&amp;'i2'!IQ28)</f>
        <v>0</v>
      </c>
      <c r="IU28" t="str">
        <f t="shared" si="183"/>
        <v>A</v>
      </c>
      <c r="IV28">
        <f t="shared" si="184"/>
        <v>2</v>
      </c>
      <c r="IW28">
        <f t="shared" si="185"/>
        <v>0</v>
      </c>
      <c r="IX28">
        <f t="shared" si="186"/>
        <v>0</v>
      </c>
      <c r="IY28">
        <f t="shared" si="187"/>
        <v>0</v>
      </c>
      <c r="IZ28" t="b">
        <f t="shared" ca="1" si="188"/>
        <v>0</v>
      </c>
      <c r="JA28" t="b">
        <f t="shared" ca="1" si="189"/>
        <v>1</v>
      </c>
      <c r="JB28" t="b">
        <f t="shared" ca="1" si="190"/>
        <v>0</v>
      </c>
      <c r="JC28">
        <f t="shared" ca="1" si="191"/>
        <v>0</v>
      </c>
      <c r="JD28" t="b">
        <f t="shared" si="192"/>
        <v>0</v>
      </c>
      <c r="JE28" t="b">
        <f t="shared" si="193"/>
        <v>0</v>
      </c>
      <c r="JF28">
        <f t="shared" ca="1" si="194"/>
        <v>0</v>
      </c>
      <c r="JG28" s="6">
        <f t="shared" ca="1" si="195"/>
        <v>1</v>
      </c>
      <c r="JH28">
        <f>MATCH(JH$2,Spieltage!$C$363:$C$371,0)+362</f>
        <v>364</v>
      </c>
      <c r="JI28" t="e">
        <f>MATCH(JH$2,Spieltage!$E$363:$E$371,0)+362</f>
        <v>#N/A</v>
      </c>
      <c r="JJ28">
        <f t="shared" si="196"/>
        <v>364</v>
      </c>
      <c r="JK28">
        <f ca="1">INDIRECT("Spieltage!$F"&amp;'i2'!JJ28)</f>
        <v>0</v>
      </c>
      <c r="JL28" s="35" t="s">
        <v>12</v>
      </c>
      <c r="JM28" s="97">
        <f ca="1">INDIRECT("Spieltage!$H"&amp;'i2'!JJ28)</f>
        <v>0</v>
      </c>
      <c r="JN28" t="str">
        <f t="shared" si="197"/>
        <v>H</v>
      </c>
      <c r="JO28">
        <f t="shared" si="198"/>
        <v>1</v>
      </c>
      <c r="JP28" t="b">
        <f t="shared" ca="1" si="199"/>
        <v>0</v>
      </c>
      <c r="JQ28" t="b">
        <f t="shared" ca="1" si="200"/>
        <v>1</v>
      </c>
      <c r="JR28" t="b">
        <f t="shared" ca="1" si="201"/>
        <v>0</v>
      </c>
      <c r="JS28">
        <f t="shared" si="202"/>
        <v>0</v>
      </c>
      <c r="JT28">
        <f t="shared" si="203"/>
        <v>0</v>
      </c>
      <c r="JU28">
        <f t="shared" si="204"/>
        <v>0</v>
      </c>
      <c r="JV28">
        <f t="shared" ca="1" si="205"/>
        <v>0</v>
      </c>
      <c r="JW28">
        <f t="shared" ca="1" si="206"/>
        <v>0</v>
      </c>
      <c r="JX28">
        <f t="shared" ca="1" si="207"/>
        <v>1</v>
      </c>
      <c r="JY28" t="b">
        <f t="shared" si="208"/>
        <v>0</v>
      </c>
      <c r="JZ28" s="6" t="b">
        <f t="shared" si="209"/>
        <v>0</v>
      </c>
      <c r="KA28" t="e">
        <f>MATCH(KA$2,Spieltage!$C$363:$C$371,0)+362</f>
        <v>#N/A</v>
      </c>
      <c r="KB28">
        <f>MATCH(KA$2,Spieltage!$E$363:$E$371,0)+362</f>
        <v>365</v>
      </c>
      <c r="KC28">
        <f t="shared" si="210"/>
        <v>365</v>
      </c>
      <c r="KD28">
        <f ca="1">INDIRECT("Spieltage!$F"&amp;'i2'!KC28)</f>
        <v>0</v>
      </c>
      <c r="KE28" s="35" t="s">
        <v>12</v>
      </c>
      <c r="KF28" s="97">
        <f ca="1">INDIRECT("Spieltage!$H"&amp;'i2'!KC28)</f>
        <v>0</v>
      </c>
      <c r="KG28" t="str">
        <f t="shared" si="211"/>
        <v>A</v>
      </c>
      <c r="KH28">
        <f t="shared" si="212"/>
        <v>2</v>
      </c>
      <c r="KI28">
        <f t="shared" si="213"/>
        <v>0</v>
      </c>
      <c r="KJ28">
        <f t="shared" si="214"/>
        <v>0</v>
      </c>
      <c r="KK28">
        <f t="shared" si="215"/>
        <v>0</v>
      </c>
      <c r="KL28" t="b">
        <f t="shared" ca="1" si="216"/>
        <v>0</v>
      </c>
      <c r="KM28" t="b">
        <f t="shared" ca="1" si="217"/>
        <v>1</v>
      </c>
      <c r="KN28" t="b">
        <f t="shared" ca="1" si="218"/>
        <v>0</v>
      </c>
      <c r="KO28">
        <f t="shared" ca="1" si="219"/>
        <v>0</v>
      </c>
      <c r="KP28" t="b">
        <f t="shared" si="220"/>
        <v>0</v>
      </c>
      <c r="KQ28" t="b">
        <f t="shared" si="221"/>
        <v>0</v>
      </c>
      <c r="KR28">
        <f t="shared" ca="1" si="222"/>
        <v>0</v>
      </c>
      <c r="KS28" s="6">
        <f t="shared" ca="1" si="223"/>
        <v>1</v>
      </c>
      <c r="KT28">
        <f>MATCH(KT$2,Spieltage!$C$363:$C$371,0)+362</f>
        <v>370</v>
      </c>
      <c r="KU28" t="e">
        <f>MATCH(KT$2,Spieltage!$E$363:$E$371,0)+362</f>
        <v>#N/A</v>
      </c>
      <c r="KV28">
        <f t="shared" si="224"/>
        <v>370</v>
      </c>
      <c r="KW28">
        <f ca="1">INDIRECT("Spieltage!$F"&amp;'i2'!KV28)</f>
        <v>0</v>
      </c>
      <c r="KX28" s="35" t="s">
        <v>12</v>
      </c>
      <c r="KY28" s="97">
        <f ca="1">INDIRECT("Spieltage!$H"&amp;'i2'!KV28)</f>
        <v>0</v>
      </c>
      <c r="KZ28" t="str">
        <f t="shared" si="225"/>
        <v>H</v>
      </c>
      <c r="LA28">
        <f t="shared" si="226"/>
        <v>1</v>
      </c>
      <c r="LB28" t="b">
        <f t="shared" ca="1" si="227"/>
        <v>0</v>
      </c>
      <c r="LC28" t="b">
        <f t="shared" ca="1" si="228"/>
        <v>1</v>
      </c>
      <c r="LD28" t="b">
        <f t="shared" ca="1" si="229"/>
        <v>0</v>
      </c>
      <c r="LE28">
        <f t="shared" si="230"/>
        <v>0</v>
      </c>
      <c r="LF28">
        <f t="shared" si="231"/>
        <v>0</v>
      </c>
      <c r="LG28">
        <f t="shared" si="232"/>
        <v>0</v>
      </c>
      <c r="LH28">
        <f t="shared" ca="1" si="233"/>
        <v>0</v>
      </c>
      <c r="LI28">
        <f t="shared" ca="1" si="234"/>
        <v>0</v>
      </c>
      <c r="LJ28">
        <f t="shared" ca="1" si="235"/>
        <v>1</v>
      </c>
      <c r="LK28" t="b">
        <f t="shared" si="236"/>
        <v>0</v>
      </c>
      <c r="LL28" s="6" t="b">
        <f t="shared" si="237"/>
        <v>0</v>
      </c>
      <c r="LM28">
        <f>MATCH(LM$2,Spieltage!$C$363:$C$371,0)+362</f>
        <v>371</v>
      </c>
      <c r="LN28" t="e">
        <f>MATCH(LM$2,Spieltage!$E$363:$E$371,0)+362</f>
        <v>#N/A</v>
      </c>
      <c r="LO28">
        <f t="shared" si="238"/>
        <v>371</v>
      </c>
      <c r="LP28">
        <f ca="1">INDIRECT("Spieltage!$F"&amp;'i2'!LO28)</f>
        <v>0</v>
      </c>
      <c r="LQ28" s="35" t="s">
        <v>12</v>
      </c>
      <c r="LR28" s="97">
        <f ca="1">INDIRECT("Spieltage!$H"&amp;'i2'!LO28)</f>
        <v>0</v>
      </c>
      <c r="LS28" t="str">
        <f t="shared" si="239"/>
        <v>H</v>
      </c>
      <c r="LT28">
        <f t="shared" si="240"/>
        <v>1</v>
      </c>
      <c r="LU28" t="b">
        <f t="shared" ca="1" si="241"/>
        <v>0</v>
      </c>
      <c r="LV28" t="b">
        <f t="shared" ca="1" si="242"/>
        <v>1</v>
      </c>
      <c r="LW28" t="b">
        <f t="shared" ca="1" si="243"/>
        <v>0</v>
      </c>
      <c r="LX28">
        <f t="shared" si="244"/>
        <v>0</v>
      </c>
      <c r="LY28">
        <f t="shared" si="245"/>
        <v>0</v>
      </c>
      <c r="LZ28">
        <f t="shared" si="246"/>
        <v>0</v>
      </c>
      <c r="MA28">
        <f t="shared" ca="1" si="247"/>
        <v>0</v>
      </c>
      <c r="MB28">
        <f t="shared" ca="1" si="248"/>
        <v>0</v>
      </c>
      <c r="MC28">
        <f t="shared" ca="1" si="249"/>
        <v>1</v>
      </c>
      <c r="MD28" t="b">
        <f t="shared" si="250"/>
        <v>0</v>
      </c>
      <c r="ME28" s="6" t="b">
        <f t="shared" si="251"/>
        <v>0</v>
      </c>
    </row>
    <row r="29" spans="1:343" x14ac:dyDescent="0.2">
      <c r="A29" s="104" t="s">
        <v>237</v>
      </c>
      <c r="B29" t="e">
        <f>MATCH(B$2,Spieltage!$C$378:$C$386,0)+377</f>
        <v>#N/A</v>
      </c>
      <c r="C29">
        <f>MATCH(B$2,Spieltage!$E$378:$E$386,0)+377</f>
        <v>378</v>
      </c>
      <c r="D29">
        <f t="shared" si="0"/>
        <v>378</v>
      </c>
      <c r="E29">
        <f ca="1">INDIRECT("Spieltage!$F"&amp;'i2'!D29)</f>
        <v>0</v>
      </c>
      <c r="F29" s="35" t="s">
        <v>12</v>
      </c>
      <c r="G29" s="97">
        <f ca="1">INDIRECT("Spieltage!$H"&amp;'i2'!D29)</f>
        <v>0</v>
      </c>
      <c r="H29" t="str">
        <f t="shared" si="1"/>
        <v>A</v>
      </c>
      <c r="I29">
        <f t="shared" si="2"/>
        <v>2</v>
      </c>
      <c r="J29">
        <f t="shared" si="3"/>
        <v>0</v>
      </c>
      <c r="K29">
        <f t="shared" si="4"/>
        <v>0</v>
      </c>
      <c r="L29">
        <f t="shared" si="5"/>
        <v>0</v>
      </c>
      <c r="M29" t="b">
        <f t="shared" ca="1" si="6"/>
        <v>0</v>
      </c>
      <c r="N29" t="b">
        <f t="shared" ca="1" si="7"/>
        <v>1</v>
      </c>
      <c r="O29" t="b">
        <f t="shared" ca="1" si="8"/>
        <v>0</v>
      </c>
      <c r="P29">
        <f t="shared" ca="1" si="9"/>
        <v>0</v>
      </c>
      <c r="Q29" t="b">
        <f t="shared" si="10"/>
        <v>0</v>
      </c>
      <c r="R29" t="b">
        <f t="shared" si="11"/>
        <v>0</v>
      </c>
      <c r="S29">
        <f t="shared" ca="1" si="12"/>
        <v>0</v>
      </c>
      <c r="T29" s="6">
        <f t="shared" ca="1" si="13"/>
        <v>1</v>
      </c>
      <c r="U29" t="e">
        <f>MATCH(U$2,Spieltage!$C$378:$C$386,0)+377</f>
        <v>#N/A</v>
      </c>
      <c r="V29">
        <f>MATCH(U$2,Spieltage!$E$378:$E$386,0)+377</f>
        <v>380</v>
      </c>
      <c r="W29">
        <f t="shared" si="14"/>
        <v>380</v>
      </c>
      <c r="X29">
        <f ca="1">INDIRECT("Spieltage!$F"&amp;'i2'!W29)</f>
        <v>0</v>
      </c>
      <c r="Y29" s="35" t="s">
        <v>12</v>
      </c>
      <c r="Z29" s="97">
        <f ca="1">INDIRECT("Spieltage!$H"&amp;'i2'!W29)</f>
        <v>0</v>
      </c>
      <c r="AA29" t="str">
        <f t="shared" si="15"/>
        <v>A</v>
      </c>
      <c r="AB29">
        <f t="shared" si="16"/>
        <v>2</v>
      </c>
      <c r="AC29">
        <f t="shared" si="17"/>
        <v>0</v>
      </c>
      <c r="AD29">
        <f t="shared" si="18"/>
        <v>0</v>
      </c>
      <c r="AE29">
        <f t="shared" si="19"/>
        <v>0</v>
      </c>
      <c r="AF29" t="b">
        <f t="shared" ca="1" si="20"/>
        <v>0</v>
      </c>
      <c r="AG29" t="b">
        <f t="shared" ca="1" si="21"/>
        <v>1</v>
      </c>
      <c r="AH29" t="b">
        <f t="shared" ca="1" si="22"/>
        <v>0</v>
      </c>
      <c r="AI29">
        <f t="shared" ca="1" si="23"/>
        <v>0</v>
      </c>
      <c r="AJ29" t="b">
        <f t="shared" si="24"/>
        <v>0</v>
      </c>
      <c r="AK29" t="b">
        <f t="shared" si="25"/>
        <v>0</v>
      </c>
      <c r="AL29">
        <f t="shared" ca="1" si="26"/>
        <v>0</v>
      </c>
      <c r="AM29" s="6">
        <f t="shared" ca="1" si="27"/>
        <v>1</v>
      </c>
      <c r="AN29">
        <f>MATCH(AN$2,Spieltage!$C$378:$C$386,0)+377</f>
        <v>378</v>
      </c>
      <c r="AO29" t="e">
        <f>MATCH(AN$2,Spieltage!$E$378:$E$386,0)+377</f>
        <v>#N/A</v>
      </c>
      <c r="AP29">
        <f t="shared" si="28"/>
        <v>378</v>
      </c>
      <c r="AQ29">
        <f ca="1">INDIRECT("Spieltage!$F"&amp;'i2'!AP29)</f>
        <v>0</v>
      </c>
      <c r="AR29" s="35" t="s">
        <v>12</v>
      </c>
      <c r="AS29" s="97">
        <f ca="1">INDIRECT("Spieltage!$H"&amp;'i2'!AP29)</f>
        <v>0</v>
      </c>
      <c r="AT29" t="str">
        <f t="shared" si="29"/>
        <v>H</v>
      </c>
      <c r="AU29">
        <f t="shared" si="30"/>
        <v>1</v>
      </c>
      <c r="AV29" t="b">
        <f t="shared" ca="1" si="31"/>
        <v>0</v>
      </c>
      <c r="AW29" t="b">
        <f t="shared" ca="1" si="32"/>
        <v>1</v>
      </c>
      <c r="AX29" t="b">
        <f t="shared" ca="1" si="33"/>
        <v>0</v>
      </c>
      <c r="AY29">
        <f t="shared" si="34"/>
        <v>0</v>
      </c>
      <c r="AZ29">
        <f t="shared" si="35"/>
        <v>0</v>
      </c>
      <c r="BA29">
        <f t="shared" si="36"/>
        <v>0</v>
      </c>
      <c r="BB29">
        <f t="shared" ca="1" si="37"/>
        <v>0</v>
      </c>
      <c r="BC29">
        <f t="shared" ca="1" si="38"/>
        <v>0</v>
      </c>
      <c r="BD29">
        <f t="shared" ca="1" si="39"/>
        <v>1</v>
      </c>
      <c r="BE29" t="b">
        <f t="shared" si="40"/>
        <v>0</v>
      </c>
      <c r="BF29" s="6" t="b">
        <f t="shared" si="41"/>
        <v>0</v>
      </c>
      <c r="BG29">
        <f>MATCH(BG$2,Spieltage!$C$378:$C$386,0)+377</f>
        <v>381</v>
      </c>
      <c r="BH29" t="e">
        <f>MATCH(BG$2,Spieltage!$E$378:$E$386,0)+377</f>
        <v>#N/A</v>
      </c>
      <c r="BI29">
        <f t="shared" si="42"/>
        <v>381</v>
      </c>
      <c r="BJ29">
        <f ca="1">INDIRECT("Spieltage!$F"&amp;'i2'!BI29)</f>
        <v>0</v>
      </c>
      <c r="BK29" s="35" t="s">
        <v>12</v>
      </c>
      <c r="BL29" s="97">
        <f ca="1">INDIRECT("Spieltage!$H"&amp;'i2'!BI29)</f>
        <v>0</v>
      </c>
      <c r="BM29" t="str">
        <f t="shared" si="43"/>
        <v>H</v>
      </c>
      <c r="BN29">
        <f t="shared" si="44"/>
        <v>1</v>
      </c>
      <c r="BO29" t="b">
        <f t="shared" ca="1" si="45"/>
        <v>0</v>
      </c>
      <c r="BP29" t="b">
        <f t="shared" ca="1" si="46"/>
        <v>1</v>
      </c>
      <c r="BQ29" t="b">
        <f t="shared" ca="1" si="47"/>
        <v>0</v>
      </c>
      <c r="BR29">
        <f t="shared" si="48"/>
        <v>0</v>
      </c>
      <c r="BS29">
        <f t="shared" si="49"/>
        <v>0</v>
      </c>
      <c r="BT29">
        <f t="shared" si="50"/>
        <v>0</v>
      </c>
      <c r="BU29">
        <f t="shared" ca="1" si="51"/>
        <v>0</v>
      </c>
      <c r="BV29">
        <f t="shared" ca="1" si="52"/>
        <v>0</v>
      </c>
      <c r="BW29">
        <f t="shared" ca="1" si="53"/>
        <v>1</v>
      </c>
      <c r="BX29" t="b">
        <f t="shared" si="54"/>
        <v>0</v>
      </c>
      <c r="BY29" s="6" t="b">
        <f t="shared" si="55"/>
        <v>0</v>
      </c>
      <c r="BZ29">
        <f>MATCH(BZ$2,Spieltage!$C$378:$C$386,0)+377</f>
        <v>385</v>
      </c>
      <c r="CA29" t="e">
        <f>MATCH(BZ$2,Spieltage!$E$378:$E$386,0)+377</f>
        <v>#N/A</v>
      </c>
      <c r="CB29">
        <f t="shared" si="56"/>
        <v>385</v>
      </c>
      <c r="CC29">
        <f ca="1">INDIRECT("Spieltage!$F"&amp;'i2'!CB29)</f>
        <v>0</v>
      </c>
      <c r="CD29" s="35" t="s">
        <v>12</v>
      </c>
      <c r="CE29" s="97">
        <f ca="1">INDIRECT("Spieltage!$H"&amp;'i2'!CB29)</f>
        <v>0</v>
      </c>
      <c r="CF29" t="str">
        <f t="shared" si="57"/>
        <v>H</v>
      </c>
      <c r="CG29">
        <f t="shared" si="58"/>
        <v>1</v>
      </c>
      <c r="CH29" t="b">
        <f t="shared" ca="1" si="59"/>
        <v>0</v>
      </c>
      <c r="CI29" t="b">
        <f t="shared" ca="1" si="60"/>
        <v>1</v>
      </c>
      <c r="CJ29" t="b">
        <f t="shared" ca="1" si="61"/>
        <v>0</v>
      </c>
      <c r="CK29">
        <f t="shared" si="62"/>
        <v>0</v>
      </c>
      <c r="CL29">
        <f t="shared" si="63"/>
        <v>0</v>
      </c>
      <c r="CM29">
        <f t="shared" si="64"/>
        <v>0</v>
      </c>
      <c r="CN29">
        <f t="shared" ca="1" si="65"/>
        <v>0</v>
      </c>
      <c r="CO29">
        <f t="shared" ca="1" si="66"/>
        <v>0</v>
      </c>
      <c r="CP29">
        <f t="shared" ca="1" si="67"/>
        <v>1</v>
      </c>
      <c r="CQ29" t="b">
        <f t="shared" si="68"/>
        <v>0</v>
      </c>
      <c r="CR29" s="6" t="b">
        <f t="shared" si="69"/>
        <v>0</v>
      </c>
      <c r="CS29">
        <f>MATCH(CS$2,Spieltage!$C$378:$C$386,0)+377</f>
        <v>379</v>
      </c>
      <c r="CT29" t="e">
        <f>MATCH(CS$2,Spieltage!$E$378:$E$386,0)+377</f>
        <v>#N/A</v>
      </c>
      <c r="CU29">
        <f t="shared" si="70"/>
        <v>379</v>
      </c>
      <c r="CV29">
        <f ca="1">INDIRECT("Spieltage!$F"&amp;'i2'!CU29)</f>
        <v>0</v>
      </c>
      <c r="CW29" s="35" t="s">
        <v>12</v>
      </c>
      <c r="CX29" s="97">
        <f ca="1">INDIRECT("Spieltage!$H"&amp;'i2'!CU29)</f>
        <v>0</v>
      </c>
      <c r="CY29" t="str">
        <f t="shared" si="71"/>
        <v>H</v>
      </c>
      <c r="CZ29">
        <f t="shared" si="72"/>
        <v>1</v>
      </c>
      <c r="DA29" t="b">
        <f t="shared" ca="1" si="73"/>
        <v>0</v>
      </c>
      <c r="DB29" t="b">
        <f t="shared" ca="1" si="74"/>
        <v>1</v>
      </c>
      <c r="DC29" t="b">
        <f t="shared" ca="1" si="75"/>
        <v>0</v>
      </c>
      <c r="DD29">
        <f t="shared" si="76"/>
        <v>0</v>
      </c>
      <c r="DE29">
        <f t="shared" si="77"/>
        <v>0</v>
      </c>
      <c r="DF29">
        <f t="shared" si="78"/>
        <v>0</v>
      </c>
      <c r="DG29">
        <f t="shared" ca="1" si="79"/>
        <v>0</v>
      </c>
      <c r="DH29">
        <f t="shared" ca="1" si="80"/>
        <v>0</v>
      </c>
      <c r="DI29">
        <f t="shared" ca="1" si="81"/>
        <v>1</v>
      </c>
      <c r="DJ29" t="b">
        <f t="shared" si="82"/>
        <v>0</v>
      </c>
      <c r="DK29" s="6" t="b">
        <f t="shared" si="83"/>
        <v>0</v>
      </c>
      <c r="DL29">
        <f>MATCH(DL$2,Spieltage!$C$378:$C$386,0)+377</f>
        <v>383</v>
      </c>
      <c r="DM29" t="e">
        <f>MATCH(DL$2,Spieltage!$E$378:$E$386,0)+377</f>
        <v>#N/A</v>
      </c>
      <c r="DN29">
        <f t="shared" si="84"/>
        <v>383</v>
      </c>
      <c r="DO29">
        <f ca="1">INDIRECT("Spieltage!$F"&amp;'i2'!DN29)</f>
        <v>0</v>
      </c>
      <c r="DP29" s="35" t="s">
        <v>12</v>
      </c>
      <c r="DQ29" s="97">
        <f ca="1">INDIRECT("Spieltage!$H"&amp;'i2'!DN29)</f>
        <v>0</v>
      </c>
      <c r="DR29" t="str">
        <f t="shared" si="85"/>
        <v>H</v>
      </c>
      <c r="DS29">
        <f t="shared" si="86"/>
        <v>1</v>
      </c>
      <c r="DT29" t="b">
        <f t="shared" ca="1" si="87"/>
        <v>0</v>
      </c>
      <c r="DU29" t="b">
        <f t="shared" ca="1" si="88"/>
        <v>1</v>
      </c>
      <c r="DV29" t="b">
        <f t="shared" ca="1" si="89"/>
        <v>0</v>
      </c>
      <c r="DW29">
        <f t="shared" si="90"/>
        <v>0</v>
      </c>
      <c r="DX29">
        <f t="shared" si="91"/>
        <v>0</v>
      </c>
      <c r="DY29">
        <f t="shared" si="92"/>
        <v>0</v>
      </c>
      <c r="DZ29">
        <f t="shared" ca="1" si="93"/>
        <v>0</v>
      </c>
      <c r="EA29">
        <f t="shared" ca="1" si="94"/>
        <v>0</v>
      </c>
      <c r="EB29">
        <f t="shared" ca="1" si="95"/>
        <v>1</v>
      </c>
      <c r="EC29" t="b">
        <f t="shared" si="96"/>
        <v>0</v>
      </c>
      <c r="ED29" s="6" t="b">
        <f t="shared" si="97"/>
        <v>0</v>
      </c>
      <c r="EE29" t="e">
        <f>MATCH(EE$2,Spieltage!$C$378:$C$386,0)+377</f>
        <v>#N/A</v>
      </c>
      <c r="EF29">
        <f>MATCH(EE$2,Spieltage!$E$378:$E$386,0)+377</f>
        <v>382</v>
      </c>
      <c r="EG29">
        <f t="shared" si="98"/>
        <v>382</v>
      </c>
      <c r="EH29">
        <f ca="1">INDIRECT("Spieltage!$F"&amp;'i2'!EG29)</f>
        <v>0</v>
      </c>
      <c r="EI29" s="35" t="s">
        <v>12</v>
      </c>
      <c r="EJ29" s="97">
        <f ca="1">INDIRECT("Spieltage!$H"&amp;'i2'!EG29)</f>
        <v>0</v>
      </c>
      <c r="EK29" t="str">
        <f t="shared" si="99"/>
        <v>A</v>
      </c>
      <c r="EL29">
        <f t="shared" si="100"/>
        <v>2</v>
      </c>
      <c r="EM29">
        <f t="shared" si="101"/>
        <v>0</v>
      </c>
      <c r="EN29">
        <f t="shared" si="102"/>
        <v>0</v>
      </c>
      <c r="EO29">
        <f t="shared" si="103"/>
        <v>0</v>
      </c>
      <c r="EP29" t="b">
        <f t="shared" ca="1" si="104"/>
        <v>0</v>
      </c>
      <c r="EQ29" t="b">
        <f t="shared" ca="1" si="105"/>
        <v>1</v>
      </c>
      <c r="ER29" t="b">
        <f t="shared" ca="1" si="106"/>
        <v>0</v>
      </c>
      <c r="ES29">
        <f t="shared" ca="1" si="107"/>
        <v>0</v>
      </c>
      <c r="ET29" t="b">
        <f t="shared" si="108"/>
        <v>0</v>
      </c>
      <c r="EU29" t="b">
        <f t="shared" si="109"/>
        <v>0</v>
      </c>
      <c r="EV29">
        <f t="shared" ca="1" si="110"/>
        <v>0</v>
      </c>
      <c r="EW29" s="6">
        <f t="shared" ca="1" si="111"/>
        <v>1</v>
      </c>
      <c r="EX29" t="e">
        <f>MATCH(EX$2,Spieltage!$C$378:$C$386,0)+377</f>
        <v>#N/A</v>
      </c>
      <c r="EY29">
        <f>MATCH(EX$2,Spieltage!$E$378:$E$386,0)+377</f>
        <v>379</v>
      </c>
      <c r="EZ29">
        <f t="shared" si="112"/>
        <v>379</v>
      </c>
      <c r="FA29">
        <f ca="1">INDIRECT("Spieltage!$F"&amp;'i2'!EZ29)</f>
        <v>0</v>
      </c>
      <c r="FB29" s="35" t="s">
        <v>12</v>
      </c>
      <c r="FC29" s="97">
        <f ca="1">INDIRECT("Spieltage!$H"&amp;'i2'!EZ29)</f>
        <v>0</v>
      </c>
      <c r="FD29" t="str">
        <f t="shared" si="113"/>
        <v>A</v>
      </c>
      <c r="FE29">
        <f t="shared" si="114"/>
        <v>2</v>
      </c>
      <c r="FF29">
        <f t="shared" si="115"/>
        <v>0</v>
      </c>
      <c r="FG29">
        <f t="shared" si="116"/>
        <v>0</v>
      </c>
      <c r="FH29">
        <f t="shared" si="117"/>
        <v>0</v>
      </c>
      <c r="FI29" t="b">
        <f t="shared" ca="1" si="118"/>
        <v>0</v>
      </c>
      <c r="FJ29" t="b">
        <f t="shared" ca="1" si="119"/>
        <v>1</v>
      </c>
      <c r="FK29" t="b">
        <f t="shared" ca="1" si="120"/>
        <v>0</v>
      </c>
      <c r="FL29">
        <f t="shared" ca="1" si="121"/>
        <v>0</v>
      </c>
      <c r="FM29" t="b">
        <f t="shared" si="122"/>
        <v>0</v>
      </c>
      <c r="FN29" t="b">
        <f t="shared" si="123"/>
        <v>0</v>
      </c>
      <c r="FO29">
        <f t="shared" ca="1" si="124"/>
        <v>0</v>
      </c>
      <c r="FP29" s="6">
        <f t="shared" ca="1" si="125"/>
        <v>1</v>
      </c>
      <c r="FQ29" t="e">
        <f>MATCH(FQ$2,Spieltage!$C$378:$C$386,0)+377</f>
        <v>#N/A</v>
      </c>
      <c r="FR29">
        <f>MATCH(FQ$2,Spieltage!$E$378:$E$386,0)+377</f>
        <v>386</v>
      </c>
      <c r="FS29">
        <f t="shared" si="126"/>
        <v>386</v>
      </c>
      <c r="FT29">
        <f ca="1">INDIRECT("Spieltage!$F"&amp;'i2'!FS29)</f>
        <v>0</v>
      </c>
      <c r="FU29" s="35" t="s">
        <v>12</v>
      </c>
      <c r="FV29" s="97">
        <f ca="1">INDIRECT("Spieltage!$H"&amp;'i2'!FS29)</f>
        <v>0</v>
      </c>
      <c r="FW29" t="str">
        <f t="shared" si="127"/>
        <v>A</v>
      </c>
      <c r="FX29">
        <f t="shared" si="128"/>
        <v>2</v>
      </c>
      <c r="FY29">
        <f t="shared" si="129"/>
        <v>0</v>
      </c>
      <c r="FZ29">
        <f t="shared" si="130"/>
        <v>0</v>
      </c>
      <c r="GA29">
        <f t="shared" si="131"/>
        <v>0</v>
      </c>
      <c r="GB29" t="b">
        <f t="shared" ca="1" si="132"/>
        <v>0</v>
      </c>
      <c r="GC29" t="b">
        <f t="shared" ca="1" si="133"/>
        <v>1</v>
      </c>
      <c r="GD29" t="b">
        <f t="shared" ca="1" si="134"/>
        <v>0</v>
      </c>
      <c r="GE29">
        <f t="shared" ca="1" si="135"/>
        <v>0</v>
      </c>
      <c r="GF29" t="b">
        <f t="shared" si="136"/>
        <v>0</v>
      </c>
      <c r="GG29" t="b">
        <f t="shared" si="137"/>
        <v>0</v>
      </c>
      <c r="GH29">
        <f t="shared" ca="1" si="138"/>
        <v>0</v>
      </c>
      <c r="GI29" s="6">
        <f t="shared" ca="1" si="139"/>
        <v>1</v>
      </c>
      <c r="GJ29">
        <f>MATCH(GJ$2,Spieltage!$C$378:$C$386,0)+377</f>
        <v>384</v>
      </c>
      <c r="GK29" t="e">
        <f>MATCH(GJ$2,Spieltage!$E$378:$E$386,0)+377</f>
        <v>#N/A</v>
      </c>
      <c r="GL29">
        <f t="shared" si="140"/>
        <v>384</v>
      </c>
      <c r="GM29">
        <f ca="1">INDIRECT("Spieltage!$F"&amp;'i2'!GL29)</f>
        <v>0</v>
      </c>
      <c r="GN29" s="35" t="s">
        <v>12</v>
      </c>
      <c r="GO29" s="97">
        <f ca="1">INDIRECT("Spieltage!$H"&amp;'i2'!GL29)</f>
        <v>0</v>
      </c>
      <c r="GP29" t="str">
        <f t="shared" si="141"/>
        <v>H</v>
      </c>
      <c r="GQ29">
        <f t="shared" si="142"/>
        <v>1</v>
      </c>
      <c r="GR29" t="b">
        <f t="shared" ca="1" si="143"/>
        <v>0</v>
      </c>
      <c r="GS29" t="b">
        <f t="shared" ca="1" si="144"/>
        <v>1</v>
      </c>
      <c r="GT29" t="b">
        <f t="shared" ca="1" si="145"/>
        <v>0</v>
      </c>
      <c r="GU29">
        <f t="shared" si="146"/>
        <v>0</v>
      </c>
      <c r="GV29">
        <f t="shared" si="147"/>
        <v>0</v>
      </c>
      <c r="GW29">
        <f t="shared" si="148"/>
        <v>0</v>
      </c>
      <c r="GX29">
        <f t="shared" ca="1" si="149"/>
        <v>0</v>
      </c>
      <c r="GY29">
        <f t="shared" ca="1" si="150"/>
        <v>0</v>
      </c>
      <c r="GZ29">
        <f t="shared" ca="1" si="151"/>
        <v>1</v>
      </c>
      <c r="HA29" t="b">
        <f t="shared" si="152"/>
        <v>0</v>
      </c>
      <c r="HB29" s="6" t="b">
        <f t="shared" si="153"/>
        <v>0</v>
      </c>
      <c r="HC29">
        <f>MATCH(HC$2,Spieltage!$C$378:$C$386,0)+377</f>
        <v>386</v>
      </c>
      <c r="HD29" t="e">
        <f>MATCH(HC$2,Spieltage!$E$378:$E$386,0)+377</f>
        <v>#N/A</v>
      </c>
      <c r="HE29">
        <f t="shared" si="154"/>
        <v>386</v>
      </c>
      <c r="HF29">
        <f ca="1">INDIRECT("Spieltage!$F"&amp;'i2'!HE29)</f>
        <v>0</v>
      </c>
      <c r="HG29" s="35" t="s">
        <v>12</v>
      </c>
      <c r="HH29" s="97">
        <f ca="1">INDIRECT("Spieltage!$H"&amp;'i2'!HE29)</f>
        <v>0</v>
      </c>
      <c r="HI29" t="str">
        <f t="shared" si="155"/>
        <v>H</v>
      </c>
      <c r="HJ29">
        <f t="shared" si="156"/>
        <v>1</v>
      </c>
      <c r="HK29" t="b">
        <f t="shared" ca="1" si="157"/>
        <v>0</v>
      </c>
      <c r="HL29" t="b">
        <f t="shared" ca="1" si="158"/>
        <v>1</v>
      </c>
      <c r="HM29" t="b">
        <f t="shared" ca="1" si="159"/>
        <v>0</v>
      </c>
      <c r="HN29">
        <f t="shared" si="160"/>
        <v>0</v>
      </c>
      <c r="HO29">
        <f t="shared" si="161"/>
        <v>0</v>
      </c>
      <c r="HP29">
        <f t="shared" si="162"/>
        <v>0</v>
      </c>
      <c r="HQ29">
        <f t="shared" ca="1" si="163"/>
        <v>0</v>
      </c>
      <c r="HR29">
        <f t="shared" ca="1" si="164"/>
        <v>0</v>
      </c>
      <c r="HS29">
        <f t="shared" ca="1" si="165"/>
        <v>1</v>
      </c>
      <c r="HT29" t="b">
        <f t="shared" si="166"/>
        <v>0</v>
      </c>
      <c r="HU29" s="6" t="b">
        <f t="shared" si="167"/>
        <v>0</v>
      </c>
      <c r="HV29" t="e">
        <f>MATCH(HV$2,Spieltage!$C$378:$C$386,0)+377</f>
        <v>#N/A</v>
      </c>
      <c r="HW29">
        <f>MATCH(HV$2,Spieltage!$E$378:$E$386,0)+377</f>
        <v>383</v>
      </c>
      <c r="HX29">
        <f t="shared" si="168"/>
        <v>383</v>
      </c>
      <c r="HY29">
        <f ca="1">INDIRECT("Spieltage!$F"&amp;'i2'!HX29)</f>
        <v>0</v>
      </c>
      <c r="HZ29" s="35" t="s">
        <v>12</v>
      </c>
      <c r="IA29" s="97">
        <f ca="1">INDIRECT("Spieltage!$H"&amp;'i2'!HX29)</f>
        <v>0</v>
      </c>
      <c r="IB29" t="str">
        <f t="shared" si="169"/>
        <v>A</v>
      </c>
      <c r="IC29">
        <f t="shared" si="170"/>
        <v>2</v>
      </c>
      <c r="ID29">
        <f t="shared" si="171"/>
        <v>0</v>
      </c>
      <c r="IE29">
        <f t="shared" si="172"/>
        <v>0</v>
      </c>
      <c r="IF29">
        <f t="shared" si="173"/>
        <v>0</v>
      </c>
      <c r="IG29" t="b">
        <f t="shared" ca="1" si="174"/>
        <v>0</v>
      </c>
      <c r="IH29" t="b">
        <f t="shared" ca="1" si="175"/>
        <v>1</v>
      </c>
      <c r="II29" t="b">
        <f t="shared" ca="1" si="176"/>
        <v>0</v>
      </c>
      <c r="IJ29">
        <f t="shared" ca="1" si="177"/>
        <v>0</v>
      </c>
      <c r="IK29" t="b">
        <f t="shared" si="178"/>
        <v>0</v>
      </c>
      <c r="IL29" t="b">
        <f t="shared" si="179"/>
        <v>0</v>
      </c>
      <c r="IM29">
        <f t="shared" ca="1" si="180"/>
        <v>0</v>
      </c>
      <c r="IN29" s="6">
        <f t="shared" ca="1" si="181"/>
        <v>1</v>
      </c>
      <c r="IO29">
        <f>MATCH(IO$2,Spieltage!$C$378:$C$386,0)+377</f>
        <v>380</v>
      </c>
      <c r="IP29" t="e">
        <f>MATCH(IO$2,Spieltage!$E$378:$E$386,0)+377</f>
        <v>#N/A</v>
      </c>
      <c r="IQ29">
        <f t="shared" si="182"/>
        <v>380</v>
      </c>
      <c r="IR29">
        <f ca="1">INDIRECT("Spieltage!$F"&amp;'i2'!IQ29)</f>
        <v>0</v>
      </c>
      <c r="IS29" s="35" t="s">
        <v>12</v>
      </c>
      <c r="IT29" s="97">
        <f ca="1">INDIRECT("Spieltage!$H"&amp;'i2'!IQ29)</f>
        <v>0</v>
      </c>
      <c r="IU29" t="str">
        <f t="shared" si="183"/>
        <v>H</v>
      </c>
      <c r="IV29">
        <f t="shared" si="184"/>
        <v>1</v>
      </c>
      <c r="IW29" t="b">
        <f t="shared" ca="1" si="185"/>
        <v>0</v>
      </c>
      <c r="IX29" t="b">
        <f t="shared" ca="1" si="186"/>
        <v>1</v>
      </c>
      <c r="IY29" t="b">
        <f t="shared" ca="1" si="187"/>
        <v>0</v>
      </c>
      <c r="IZ29">
        <f t="shared" si="188"/>
        <v>0</v>
      </c>
      <c r="JA29">
        <f t="shared" si="189"/>
        <v>0</v>
      </c>
      <c r="JB29">
        <f t="shared" si="190"/>
        <v>0</v>
      </c>
      <c r="JC29">
        <f t="shared" ca="1" si="191"/>
        <v>0</v>
      </c>
      <c r="JD29">
        <f t="shared" ca="1" si="192"/>
        <v>0</v>
      </c>
      <c r="JE29">
        <f t="shared" ca="1" si="193"/>
        <v>1</v>
      </c>
      <c r="JF29" t="b">
        <f t="shared" si="194"/>
        <v>0</v>
      </c>
      <c r="JG29" s="6" t="b">
        <f t="shared" si="195"/>
        <v>0</v>
      </c>
      <c r="JH29" t="e">
        <f>MATCH(JH$2,Spieltage!$C$378:$C$386,0)+377</f>
        <v>#N/A</v>
      </c>
      <c r="JI29">
        <f>MATCH(JH$2,Spieltage!$E$378:$E$386,0)+377</f>
        <v>384</v>
      </c>
      <c r="JJ29">
        <f t="shared" si="196"/>
        <v>384</v>
      </c>
      <c r="JK29">
        <f ca="1">INDIRECT("Spieltage!$F"&amp;'i2'!JJ29)</f>
        <v>0</v>
      </c>
      <c r="JL29" s="35" t="s">
        <v>12</v>
      </c>
      <c r="JM29" s="97">
        <f ca="1">INDIRECT("Spieltage!$H"&amp;'i2'!JJ29)</f>
        <v>0</v>
      </c>
      <c r="JN29" t="str">
        <f t="shared" si="197"/>
        <v>A</v>
      </c>
      <c r="JO29">
        <f t="shared" si="198"/>
        <v>2</v>
      </c>
      <c r="JP29">
        <f t="shared" si="199"/>
        <v>0</v>
      </c>
      <c r="JQ29">
        <f t="shared" si="200"/>
        <v>0</v>
      </c>
      <c r="JR29">
        <f t="shared" si="201"/>
        <v>0</v>
      </c>
      <c r="JS29" t="b">
        <f t="shared" ca="1" si="202"/>
        <v>0</v>
      </c>
      <c r="JT29" t="b">
        <f t="shared" ca="1" si="203"/>
        <v>1</v>
      </c>
      <c r="JU29" t="b">
        <f t="shared" ca="1" si="204"/>
        <v>0</v>
      </c>
      <c r="JV29">
        <f t="shared" ca="1" si="205"/>
        <v>0</v>
      </c>
      <c r="JW29" t="b">
        <f t="shared" si="206"/>
        <v>0</v>
      </c>
      <c r="JX29" t="b">
        <f t="shared" si="207"/>
        <v>0</v>
      </c>
      <c r="JY29">
        <f t="shared" ca="1" si="208"/>
        <v>0</v>
      </c>
      <c r="JZ29" s="6">
        <f t="shared" ca="1" si="209"/>
        <v>1</v>
      </c>
      <c r="KA29">
        <f>MATCH(KA$2,Spieltage!$C$378:$C$386,0)+377</f>
        <v>382</v>
      </c>
      <c r="KB29" t="e">
        <f>MATCH(KA$2,Spieltage!$E$378:$E$386,0)+377</f>
        <v>#N/A</v>
      </c>
      <c r="KC29">
        <f t="shared" si="210"/>
        <v>382</v>
      </c>
      <c r="KD29">
        <f ca="1">INDIRECT("Spieltage!$F"&amp;'i2'!KC29)</f>
        <v>0</v>
      </c>
      <c r="KE29" s="35" t="s">
        <v>12</v>
      </c>
      <c r="KF29" s="97">
        <f ca="1">INDIRECT("Spieltage!$H"&amp;'i2'!KC29)</f>
        <v>0</v>
      </c>
      <c r="KG29" t="str">
        <f t="shared" si="211"/>
        <v>H</v>
      </c>
      <c r="KH29">
        <f t="shared" si="212"/>
        <v>1</v>
      </c>
      <c r="KI29" t="b">
        <f t="shared" ca="1" si="213"/>
        <v>0</v>
      </c>
      <c r="KJ29" t="b">
        <f t="shared" ca="1" si="214"/>
        <v>1</v>
      </c>
      <c r="KK29" t="b">
        <f t="shared" ca="1" si="215"/>
        <v>0</v>
      </c>
      <c r="KL29">
        <f t="shared" si="216"/>
        <v>0</v>
      </c>
      <c r="KM29">
        <f t="shared" si="217"/>
        <v>0</v>
      </c>
      <c r="KN29">
        <f t="shared" si="218"/>
        <v>0</v>
      </c>
      <c r="KO29">
        <f t="shared" ca="1" si="219"/>
        <v>0</v>
      </c>
      <c r="KP29">
        <f t="shared" ca="1" si="220"/>
        <v>0</v>
      </c>
      <c r="KQ29">
        <f t="shared" ca="1" si="221"/>
        <v>1</v>
      </c>
      <c r="KR29" t="b">
        <f t="shared" si="222"/>
        <v>0</v>
      </c>
      <c r="KS29" s="6" t="b">
        <f t="shared" si="223"/>
        <v>0</v>
      </c>
      <c r="KT29" t="e">
        <f>MATCH(KT$2,Spieltage!$C$378:$C$386,0)+377</f>
        <v>#N/A</v>
      </c>
      <c r="KU29">
        <f>MATCH(KT$2,Spieltage!$E$378:$E$386,0)+377</f>
        <v>385</v>
      </c>
      <c r="KV29">
        <f t="shared" si="224"/>
        <v>385</v>
      </c>
      <c r="KW29">
        <f ca="1">INDIRECT("Spieltage!$F"&amp;'i2'!KV29)</f>
        <v>0</v>
      </c>
      <c r="KX29" s="35" t="s">
        <v>12</v>
      </c>
      <c r="KY29" s="97">
        <f ca="1">INDIRECT("Spieltage!$H"&amp;'i2'!KV29)</f>
        <v>0</v>
      </c>
      <c r="KZ29" t="str">
        <f t="shared" si="225"/>
        <v>A</v>
      </c>
      <c r="LA29">
        <f t="shared" si="226"/>
        <v>2</v>
      </c>
      <c r="LB29">
        <f t="shared" si="227"/>
        <v>0</v>
      </c>
      <c r="LC29">
        <f t="shared" si="228"/>
        <v>0</v>
      </c>
      <c r="LD29">
        <f t="shared" si="229"/>
        <v>0</v>
      </c>
      <c r="LE29" t="b">
        <f t="shared" ca="1" si="230"/>
        <v>0</v>
      </c>
      <c r="LF29" t="b">
        <f t="shared" ca="1" si="231"/>
        <v>1</v>
      </c>
      <c r="LG29" t="b">
        <f t="shared" ca="1" si="232"/>
        <v>0</v>
      </c>
      <c r="LH29">
        <f t="shared" ca="1" si="233"/>
        <v>0</v>
      </c>
      <c r="LI29" t="b">
        <f t="shared" si="234"/>
        <v>0</v>
      </c>
      <c r="LJ29" t="b">
        <f t="shared" si="235"/>
        <v>0</v>
      </c>
      <c r="LK29">
        <f t="shared" ca="1" si="236"/>
        <v>0</v>
      </c>
      <c r="LL29" s="6">
        <f t="shared" ca="1" si="237"/>
        <v>1</v>
      </c>
      <c r="LM29" t="e">
        <f>MATCH(LM$2,Spieltage!$C$378:$C$386,0)+377</f>
        <v>#N/A</v>
      </c>
      <c r="LN29">
        <f>MATCH(LM$2,Spieltage!$E$378:$E$386,0)+377</f>
        <v>381</v>
      </c>
      <c r="LO29">
        <f t="shared" si="238"/>
        <v>381</v>
      </c>
      <c r="LP29">
        <f ca="1">INDIRECT("Spieltage!$F"&amp;'i2'!LO29)</f>
        <v>0</v>
      </c>
      <c r="LQ29" s="35" t="s">
        <v>12</v>
      </c>
      <c r="LR29" s="97">
        <f ca="1">INDIRECT("Spieltage!$H"&amp;'i2'!LO29)</f>
        <v>0</v>
      </c>
      <c r="LS29" t="str">
        <f t="shared" si="239"/>
        <v>A</v>
      </c>
      <c r="LT29">
        <f t="shared" si="240"/>
        <v>2</v>
      </c>
      <c r="LU29">
        <f t="shared" si="241"/>
        <v>0</v>
      </c>
      <c r="LV29">
        <f t="shared" si="242"/>
        <v>0</v>
      </c>
      <c r="LW29">
        <f t="shared" si="243"/>
        <v>0</v>
      </c>
      <c r="LX29" t="b">
        <f t="shared" ca="1" si="244"/>
        <v>0</v>
      </c>
      <c r="LY29" t="b">
        <f t="shared" ca="1" si="245"/>
        <v>1</v>
      </c>
      <c r="LZ29" t="b">
        <f t="shared" ca="1" si="246"/>
        <v>0</v>
      </c>
      <c r="MA29">
        <f t="shared" ca="1" si="247"/>
        <v>0</v>
      </c>
      <c r="MB29" t="b">
        <f t="shared" si="248"/>
        <v>0</v>
      </c>
      <c r="MC29" t="b">
        <f t="shared" si="249"/>
        <v>0</v>
      </c>
      <c r="MD29">
        <f t="shared" ca="1" si="250"/>
        <v>0</v>
      </c>
      <c r="ME29" s="6">
        <f t="shared" ca="1" si="251"/>
        <v>1</v>
      </c>
    </row>
    <row r="30" spans="1:343" x14ac:dyDescent="0.2">
      <c r="A30" s="104" t="s">
        <v>238</v>
      </c>
      <c r="B30">
        <f>MATCH(B$2,Spieltage!$C$393:$C$401,0)+392</f>
        <v>399</v>
      </c>
      <c r="C30" t="e">
        <f>MATCH(B$2,Spieltage!$E$393:$E$401,0)+392</f>
        <v>#N/A</v>
      </c>
      <c r="D30">
        <f t="shared" si="0"/>
        <v>399</v>
      </c>
      <c r="E30">
        <f ca="1">INDIRECT("Spieltage!$F"&amp;'i2'!D30)</f>
        <v>0</v>
      </c>
      <c r="F30" s="35" t="s">
        <v>12</v>
      </c>
      <c r="G30" s="97">
        <f ca="1">INDIRECT("Spieltage!$H"&amp;'i2'!D30)</f>
        <v>0</v>
      </c>
      <c r="H30" t="str">
        <f t="shared" si="1"/>
        <v>H</v>
      </c>
      <c r="I30">
        <f t="shared" si="2"/>
        <v>1</v>
      </c>
      <c r="J30" t="b">
        <f t="shared" ca="1" si="3"/>
        <v>0</v>
      </c>
      <c r="K30" t="b">
        <f t="shared" ca="1" si="4"/>
        <v>1</v>
      </c>
      <c r="L30" t="b">
        <f t="shared" ca="1" si="5"/>
        <v>0</v>
      </c>
      <c r="M30">
        <f t="shared" si="6"/>
        <v>0</v>
      </c>
      <c r="N30">
        <f t="shared" si="7"/>
        <v>0</v>
      </c>
      <c r="O30">
        <f t="shared" si="8"/>
        <v>0</v>
      </c>
      <c r="P30">
        <f t="shared" ca="1" si="9"/>
        <v>0</v>
      </c>
      <c r="Q30">
        <f t="shared" ca="1" si="10"/>
        <v>0</v>
      </c>
      <c r="R30">
        <f t="shared" ca="1" si="11"/>
        <v>1</v>
      </c>
      <c r="S30" t="b">
        <f t="shared" si="12"/>
        <v>0</v>
      </c>
      <c r="T30" s="6" t="b">
        <f t="shared" si="13"/>
        <v>0</v>
      </c>
      <c r="U30">
        <f>MATCH(U$2,Spieltage!$C$393:$C$401,0)+392</f>
        <v>400</v>
      </c>
      <c r="V30" t="e">
        <f>MATCH(U$2,Spieltage!$E$393:$E$401,0)+392</f>
        <v>#N/A</v>
      </c>
      <c r="W30">
        <f t="shared" si="14"/>
        <v>400</v>
      </c>
      <c r="X30">
        <f ca="1">INDIRECT("Spieltage!$F"&amp;'i2'!W30)</f>
        <v>0</v>
      </c>
      <c r="Y30" s="35" t="s">
        <v>12</v>
      </c>
      <c r="Z30" s="97">
        <f ca="1">INDIRECT("Spieltage!$H"&amp;'i2'!W30)</f>
        <v>0</v>
      </c>
      <c r="AA30" t="str">
        <f t="shared" si="15"/>
        <v>H</v>
      </c>
      <c r="AB30">
        <f t="shared" si="16"/>
        <v>1</v>
      </c>
      <c r="AC30" t="b">
        <f t="shared" ca="1" si="17"/>
        <v>0</v>
      </c>
      <c r="AD30" t="b">
        <f t="shared" ca="1" si="18"/>
        <v>1</v>
      </c>
      <c r="AE30" t="b">
        <f t="shared" ca="1" si="19"/>
        <v>0</v>
      </c>
      <c r="AF30">
        <f t="shared" si="20"/>
        <v>0</v>
      </c>
      <c r="AG30">
        <f t="shared" si="21"/>
        <v>0</v>
      </c>
      <c r="AH30">
        <f t="shared" si="22"/>
        <v>0</v>
      </c>
      <c r="AI30">
        <f t="shared" ca="1" si="23"/>
        <v>0</v>
      </c>
      <c r="AJ30">
        <f t="shared" ca="1" si="24"/>
        <v>0</v>
      </c>
      <c r="AK30">
        <f t="shared" ca="1" si="25"/>
        <v>1</v>
      </c>
      <c r="AL30" t="b">
        <f t="shared" si="26"/>
        <v>0</v>
      </c>
      <c r="AM30" s="6" t="b">
        <f t="shared" si="27"/>
        <v>0</v>
      </c>
      <c r="AN30" t="e">
        <f>MATCH(AN$2,Spieltage!$C$393:$C$401,0)+392</f>
        <v>#N/A</v>
      </c>
      <c r="AO30">
        <f>MATCH(AN$2,Spieltage!$E$393:$E$401,0)+392</f>
        <v>393</v>
      </c>
      <c r="AP30">
        <f t="shared" si="28"/>
        <v>393</v>
      </c>
      <c r="AQ30">
        <f ca="1">INDIRECT("Spieltage!$F"&amp;'i2'!AP30)</f>
        <v>0</v>
      </c>
      <c r="AR30" s="35" t="s">
        <v>12</v>
      </c>
      <c r="AS30" s="97">
        <f ca="1">INDIRECT("Spieltage!$H"&amp;'i2'!AP30)</f>
        <v>0</v>
      </c>
      <c r="AT30" t="str">
        <f t="shared" si="29"/>
        <v>A</v>
      </c>
      <c r="AU30">
        <f t="shared" si="30"/>
        <v>2</v>
      </c>
      <c r="AV30">
        <f t="shared" si="31"/>
        <v>0</v>
      </c>
      <c r="AW30">
        <f t="shared" si="32"/>
        <v>0</v>
      </c>
      <c r="AX30">
        <f t="shared" si="33"/>
        <v>0</v>
      </c>
      <c r="AY30" t="b">
        <f t="shared" ca="1" si="34"/>
        <v>0</v>
      </c>
      <c r="AZ30" t="b">
        <f t="shared" ca="1" si="35"/>
        <v>1</v>
      </c>
      <c r="BA30" t="b">
        <f t="shared" ca="1" si="36"/>
        <v>0</v>
      </c>
      <c r="BB30">
        <f t="shared" ca="1" si="37"/>
        <v>0</v>
      </c>
      <c r="BC30" t="b">
        <f t="shared" si="38"/>
        <v>0</v>
      </c>
      <c r="BD30" t="b">
        <f t="shared" si="39"/>
        <v>0</v>
      </c>
      <c r="BE30">
        <f t="shared" ca="1" si="40"/>
        <v>0</v>
      </c>
      <c r="BF30" s="6">
        <f t="shared" ca="1" si="41"/>
        <v>1</v>
      </c>
      <c r="BG30" t="e">
        <f>MATCH(BG$2,Spieltage!$C$393:$C$401,0)+392</f>
        <v>#N/A</v>
      </c>
      <c r="BH30">
        <f>MATCH(BG$2,Spieltage!$E$393:$E$401,0)+392</f>
        <v>400</v>
      </c>
      <c r="BI30">
        <f t="shared" si="42"/>
        <v>400</v>
      </c>
      <c r="BJ30">
        <f ca="1">INDIRECT("Spieltage!$F"&amp;'i2'!BI30)</f>
        <v>0</v>
      </c>
      <c r="BK30" s="35" t="s">
        <v>12</v>
      </c>
      <c r="BL30" s="97">
        <f ca="1">INDIRECT("Spieltage!$H"&amp;'i2'!BI30)</f>
        <v>0</v>
      </c>
      <c r="BM30" t="str">
        <f t="shared" si="43"/>
        <v>A</v>
      </c>
      <c r="BN30">
        <f t="shared" si="44"/>
        <v>2</v>
      </c>
      <c r="BO30">
        <f t="shared" si="45"/>
        <v>0</v>
      </c>
      <c r="BP30">
        <f t="shared" si="46"/>
        <v>0</v>
      </c>
      <c r="BQ30">
        <f t="shared" si="47"/>
        <v>0</v>
      </c>
      <c r="BR30" t="b">
        <f t="shared" ca="1" si="48"/>
        <v>0</v>
      </c>
      <c r="BS30" t="b">
        <f t="shared" ca="1" si="49"/>
        <v>1</v>
      </c>
      <c r="BT30" t="b">
        <f t="shared" ca="1" si="50"/>
        <v>0</v>
      </c>
      <c r="BU30">
        <f t="shared" ca="1" si="51"/>
        <v>0</v>
      </c>
      <c r="BV30" t="b">
        <f t="shared" si="52"/>
        <v>0</v>
      </c>
      <c r="BW30" t="b">
        <f t="shared" si="53"/>
        <v>0</v>
      </c>
      <c r="BX30">
        <f t="shared" ca="1" si="54"/>
        <v>0</v>
      </c>
      <c r="BY30" s="6">
        <f t="shared" ca="1" si="55"/>
        <v>1</v>
      </c>
      <c r="BZ30" t="e">
        <f>MATCH(BZ$2,Spieltage!$C$393:$C$401,0)+392</f>
        <v>#N/A</v>
      </c>
      <c r="CA30">
        <f>MATCH(BZ$2,Spieltage!$E$393:$E$401,0)+392</f>
        <v>394</v>
      </c>
      <c r="CB30">
        <f t="shared" si="56"/>
        <v>394</v>
      </c>
      <c r="CC30">
        <f ca="1">INDIRECT("Spieltage!$F"&amp;'i2'!CB30)</f>
        <v>0</v>
      </c>
      <c r="CD30" s="35" t="s">
        <v>12</v>
      </c>
      <c r="CE30" s="97">
        <f ca="1">INDIRECT("Spieltage!$H"&amp;'i2'!CB30)</f>
        <v>0</v>
      </c>
      <c r="CF30" t="str">
        <f t="shared" si="57"/>
        <v>A</v>
      </c>
      <c r="CG30">
        <f t="shared" si="58"/>
        <v>2</v>
      </c>
      <c r="CH30">
        <f t="shared" si="59"/>
        <v>0</v>
      </c>
      <c r="CI30">
        <f t="shared" si="60"/>
        <v>0</v>
      </c>
      <c r="CJ30">
        <f t="shared" si="61"/>
        <v>0</v>
      </c>
      <c r="CK30" t="b">
        <f t="shared" ca="1" si="62"/>
        <v>0</v>
      </c>
      <c r="CL30" t="b">
        <f t="shared" ca="1" si="63"/>
        <v>1</v>
      </c>
      <c r="CM30" t="b">
        <f t="shared" ca="1" si="64"/>
        <v>0</v>
      </c>
      <c r="CN30">
        <f t="shared" ca="1" si="65"/>
        <v>0</v>
      </c>
      <c r="CO30" t="b">
        <f t="shared" si="66"/>
        <v>0</v>
      </c>
      <c r="CP30" t="b">
        <f t="shared" si="67"/>
        <v>0</v>
      </c>
      <c r="CQ30">
        <f t="shared" ca="1" si="68"/>
        <v>0</v>
      </c>
      <c r="CR30" s="6">
        <f t="shared" ca="1" si="69"/>
        <v>1</v>
      </c>
      <c r="CS30" t="e">
        <f>MATCH(CS$2,Spieltage!$C$393:$C$401,0)+392</f>
        <v>#N/A</v>
      </c>
      <c r="CT30">
        <f>MATCH(CS$2,Spieltage!$E$393:$E$401,0)+392</f>
        <v>396</v>
      </c>
      <c r="CU30">
        <f t="shared" si="70"/>
        <v>396</v>
      </c>
      <c r="CV30">
        <f ca="1">INDIRECT("Spieltage!$F"&amp;'i2'!CU30)</f>
        <v>0</v>
      </c>
      <c r="CW30" s="35" t="s">
        <v>12</v>
      </c>
      <c r="CX30" s="97">
        <f ca="1">INDIRECT("Spieltage!$H"&amp;'i2'!CU30)</f>
        <v>0</v>
      </c>
      <c r="CY30" t="str">
        <f t="shared" si="71"/>
        <v>A</v>
      </c>
      <c r="CZ30">
        <f t="shared" si="72"/>
        <v>2</v>
      </c>
      <c r="DA30">
        <f t="shared" si="73"/>
        <v>0</v>
      </c>
      <c r="DB30">
        <f t="shared" si="74"/>
        <v>0</v>
      </c>
      <c r="DC30">
        <f t="shared" si="75"/>
        <v>0</v>
      </c>
      <c r="DD30" t="b">
        <f t="shared" ca="1" si="76"/>
        <v>0</v>
      </c>
      <c r="DE30" t="b">
        <f t="shared" ca="1" si="77"/>
        <v>1</v>
      </c>
      <c r="DF30" t="b">
        <f t="shared" ca="1" si="78"/>
        <v>0</v>
      </c>
      <c r="DG30">
        <f t="shared" ca="1" si="79"/>
        <v>0</v>
      </c>
      <c r="DH30" t="b">
        <f t="shared" si="80"/>
        <v>0</v>
      </c>
      <c r="DI30" t="b">
        <f t="shared" si="81"/>
        <v>0</v>
      </c>
      <c r="DJ30">
        <f t="shared" ca="1" si="82"/>
        <v>0</v>
      </c>
      <c r="DK30" s="6">
        <f t="shared" ca="1" si="83"/>
        <v>1</v>
      </c>
      <c r="DL30" t="e">
        <f>MATCH(DL$2,Spieltage!$C$393:$C$401,0)+392</f>
        <v>#N/A</v>
      </c>
      <c r="DM30">
        <f>MATCH(DL$2,Spieltage!$E$393:$E$401,0)+392</f>
        <v>395</v>
      </c>
      <c r="DN30">
        <f t="shared" si="84"/>
        <v>395</v>
      </c>
      <c r="DO30">
        <f ca="1">INDIRECT("Spieltage!$F"&amp;'i2'!DN30)</f>
        <v>0</v>
      </c>
      <c r="DP30" s="35" t="s">
        <v>12</v>
      </c>
      <c r="DQ30" s="97">
        <f ca="1">INDIRECT("Spieltage!$H"&amp;'i2'!DN30)</f>
        <v>0</v>
      </c>
      <c r="DR30" t="str">
        <f t="shared" si="85"/>
        <v>A</v>
      </c>
      <c r="DS30">
        <f t="shared" si="86"/>
        <v>2</v>
      </c>
      <c r="DT30">
        <f t="shared" si="87"/>
        <v>0</v>
      </c>
      <c r="DU30">
        <f t="shared" si="88"/>
        <v>0</v>
      </c>
      <c r="DV30">
        <f t="shared" si="89"/>
        <v>0</v>
      </c>
      <c r="DW30" t="b">
        <f t="shared" ca="1" si="90"/>
        <v>0</v>
      </c>
      <c r="DX30" t="b">
        <f t="shared" ca="1" si="91"/>
        <v>1</v>
      </c>
      <c r="DY30" t="b">
        <f t="shared" ca="1" si="92"/>
        <v>0</v>
      </c>
      <c r="DZ30">
        <f t="shared" ca="1" si="93"/>
        <v>0</v>
      </c>
      <c r="EA30" t="b">
        <f t="shared" si="94"/>
        <v>0</v>
      </c>
      <c r="EB30" t="b">
        <f t="shared" si="95"/>
        <v>0</v>
      </c>
      <c r="EC30">
        <f t="shared" ca="1" si="96"/>
        <v>0</v>
      </c>
      <c r="ED30" s="6">
        <f t="shared" ca="1" si="97"/>
        <v>1</v>
      </c>
      <c r="EE30">
        <f>MATCH(EE$2,Spieltage!$C$393:$C$401,0)+392</f>
        <v>397</v>
      </c>
      <c r="EF30" t="e">
        <f>MATCH(EE$2,Spieltage!$E$393:$E$401,0)+392</f>
        <v>#N/A</v>
      </c>
      <c r="EG30">
        <f t="shared" si="98"/>
        <v>397</v>
      </c>
      <c r="EH30">
        <f ca="1">INDIRECT("Spieltage!$F"&amp;'i2'!EG30)</f>
        <v>0</v>
      </c>
      <c r="EI30" s="35" t="s">
        <v>12</v>
      </c>
      <c r="EJ30" s="97">
        <f ca="1">INDIRECT("Spieltage!$H"&amp;'i2'!EG30)</f>
        <v>0</v>
      </c>
      <c r="EK30" t="str">
        <f t="shared" si="99"/>
        <v>H</v>
      </c>
      <c r="EL30">
        <f t="shared" si="100"/>
        <v>1</v>
      </c>
      <c r="EM30" t="b">
        <f t="shared" ca="1" si="101"/>
        <v>0</v>
      </c>
      <c r="EN30" t="b">
        <f t="shared" ca="1" si="102"/>
        <v>1</v>
      </c>
      <c r="EO30" t="b">
        <f t="shared" ca="1" si="103"/>
        <v>0</v>
      </c>
      <c r="EP30">
        <f t="shared" si="104"/>
        <v>0</v>
      </c>
      <c r="EQ30">
        <f t="shared" si="105"/>
        <v>0</v>
      </c>
      <c r="ER30">
        <f t="shared" si="106"/>
        <v>0</v>
      </c>
      <c r="ES30">
        <f t="shared" ca="1" si="107"/>
        <v>0</v>
      </c>
      <c r="ET30">
        <f t="shared" ca="1" si="108"/>
        <v>0</v>
      </c>
      <c r="EU30">
        <f t="shared" ca="1" si="109"/>
        <v>1</v>
      </c>
      <c r="EV30" t="b">
        <f t="shared" si="110"/>
        <v>0</v>
      </c>
      <c r="EW30" s="6" t="b">
        <f t="shared" si="111"/>
        <v>0</v>
      </c>
      <c r="EX30">
        <f>MATCH(EX$2,Spieltage!$C$393:$C$401,0)+392</f>
        <v>394</v>
      </c>
      <c r="EY30" t="e">
        <f>MATCH(EX$2,Spieltage!$E$393:$E$401,0)+392</f>
        <v>#N/A</v>
      </c>
      <c r="EZ30">
        <f t="shared" si="112"/>
        <v>394</v>
      </c>
      <c r="FA30">
        <f ca="1">INDIRECT("Spieltage!$F"&amp;'i2'!EZ30)</f>
        <v>0</v>
      </c>
      <c r="FB30" s="35" t="s">
        <v>12</v>
      </c>
      <c r="FC30" s="97">
        <f ca="1">INDIRECT("Spieltage!$H"&amp;'i2'!EZ30)</f>
        <v>0</v>
      </c>
      <c r="FD30" t="str">
        <f t="shared" si="113"/>
        <v>H</v>
      </c>
      <c r="FE30">
        <f t="shared" si="114"/>
        <v>1</v>
      </c>
      <c r="FF30" t="b">
        <f t="shared" ca="1" si="115"/>
        <v>0</v>
      </c>
      <c r="FG30" t="b">
        <f t="shared" ca="1" si="116"/>
        <v>1</v>
      </c>
      <c r="FH30" t="b">
        <f t="shared" ca="1" si="117"/>
        <v>0</v>
      </c>
      <c r="FI30">
        <f t="shared" si="118"/>
        <v>0</v>
      </c>
      <c r="FJ30">
        <f t="shared" si="119"/>
        <v>0</v>
      </c>
      <c r="FK30">
        <f t="shared" si="120"/>
        <v>0</v>
      </c>
      <c r="FL30">
        <f t="shared" ca="1" si="121"/>
        <v>0</v>
      </c>
      <c r="FM30">
        <f t="shared" ca="1" si="122"/>
        <v>0</v>
      </c>
      <c r="FN30">
        <f t="shared" ca="1" si="123"/>
        <v>1</v>
      </c>
      <c r="FO30" t="b">
        <f t="shared" si="124"/>
        <v>0</v>
      </c>
      <c r="FP30" s="6" t="b">
        <f t="shared" si="125"/>
        <v>0</v>
      </c>
      <c r="FQ30">
        <f>MATCH(FQ$2,Spieltage!$C$393:$C$401,0)+392</f>
        <v>398</v>
      </c>
      <c r="FR30" t="e">
        <f>MATCH(FQ$2,Spieltage!$E$393:$E$401,0)+392</f>
        <v>#N/A</v>
      </c>
      <c r="FS30">
        <f t="shared" si="126"/>
        <v>398</v>
      </c>
      <c r="FT30">
        <f ca="1">INDIRECT("Spieltage!$F"&amp;'i2'!FS30)</f>
        <v>0</v>
      </c>
      <c r="FU30" s="35" t="s">
        <v>12</v>
      </c>
      <c r="FV30" s="97">
        <f ca="1">INDIRECT("Spieltage!$H"&amp;'i2'!FS30)</f>
        <v>0</v>
      </c>
      <c r="FW30" t="str">
        <f t="shared" si="127"/>
        <v>H</v>
      </c>
      <c r="FX30">
        <f t="shared" si="128"/>
        <v>1</v>
      </c>
      <c r="FY30" t="b">
        <f t="shared" ca="1" si="129"/>
        <v>0</v>
      </c>
      <c r="FZ30" t="b">
        <f t="shared" ca="1" si="130"/>
        <v>1</v>
      </c>
      <c r="GA30" t="b">
        <f t="shared" ca="1" si="131"/>
        <v>0</v>
      </c>
      <c r="GB30">
        <f t="shared" si="132"/>
        <v>0</v>
      </c>
      <c r="GC30">
        <f t="shared" si="133"/>
        <v>0</v>
      </c>
      <c r="GD30">
        <f t="shared" si="134"/>
        <v>0</v>
      </c>
      <c r="GE30">
        <f t="shared" ca="1" si="135"/>
        <v>0</v>
      </c>
      <c r="GF30">
        <f t="shared" ca="1" si="136"/>
        <v>0</v>
      </c>
      <c r="GG30">
        <f t="shared" ca="1" si="137"/>
        <v>1</v>
      </c>
      <c r="GH30" t="b">
        <f t="shared" si="138"/>
        <v>0</v>
      </c>
      <c r="GI30" s="6" t="b">
        <f t="shared" si="139"/>
        <v>0</v>
      </c>
      <c r="GJ30" t="e">
        <f>MATCH(GJ$2,Spieltage!$C$393:$C$401,0)+392</f>
        <v>#N/A</v>
      </c>
      <c r="GK30">
        <f>MATCH(GJ$2,Spieltage!$E$393:$E$401,0)+392</f>
        <v>398</v>
      </c>
      <c r="GL30">
        <f t="shared" si="140"/>
        <v>398</v>
      </c>
      <c r="GM30">
        <f ca="1">INDIRECT("Spieltage!$F"&amp;'i2'!GL30)</f>
        <v>0</v>
      </c>
      <c r="GN30" s="35" t="s">
        <v>12</v>
      </c>
      <c r="GO30" s="97">
        <f ca="1">INDIRECT("Spieltage!$H"&amp;'i2'!GL30)</f>
        <v>0</v>
      </c>
      <c r="GP30" t="str">
        <f t="shared" si="141"/>
        <v>A</v>
      </c>
      <c r="GQ30">
        <f t="shared" si="142"/>
        <v>2</v>
      </c>
      <c r="GR30">
        <f t="shared" si="143"/>
        <v>0</v>
      </c>
      <c r="GS30">
        <f t="shared" si="144"/>
        <v>0</v>
      </c>
      <c r="GT30">
        <f t="shared" si="145"/>
        <v>0</v>
      </c>
      <c r="GU30" t="b">
        <f t="shared" ca="1" si="146"/>
        <v>0</v>
      </c>
      <c r="GV30" t="b">
        <f t="shared" ca="1" si="147"/>
        <v>1</v>
      </c>
      <c r="GW30" t="b">
        <f t="shared" ca="1" si="148"/>
        <v>0</v>
      </c>
      <c r="GX30">
        <f t="shared" ca="1" si="149"/>
        <v>0</v>
      </c>
      <c r="GY30" t="b">
        <f t="shared" si="150"/>
        <v>0</v>
      </c>
      <c r="GZ30" t="b">
        <f t="shared" si="151"/>
        <v>0</v>
      </c>
      <c r="HA30">
        <f t="shared" ca="1" si="152"/>
        <v>0</v>
      </c>
      <c r="HB30" s="6">
        <f t="shared" ca="1" si="153"/>
        <v>1</v>
      </c>
      <c r="HC30" t="e">
        <f>MATCH(HC$2,Spieltage!$C$393:$C$401,0)+392</f>
        <v>#N/A</v>
      </c>
      <c r="HD30">
        <f>MATCH(HC$2,Spieltage!$E$393:$E$401,0)+392</f>
        <v>401</v>
      </c>
      <c r="HE30">
        <f t="shared" si="154"/>
        <v>401</v>
      </c>
      <c r="HF30">
        <f ca="1">INDIRECT("Spieltage!$F"&amp;'i2'!HE30)</f>
        <v>0</v>
      </c>
      <c r="HG30" s="35" t="s">
        <v>12</v>
      </c>
      <c r="HH30" s="97">
        <f ca="1">INDIRECT("Spieltage!$H"&amp;'i2'!HE30)</f>
        <v>0</v>
      </c>
      <c r="HI30" t="str">
        <f t="shared" si="155"/>
        <v>A</v>
      </c>
      <c r="HJ30">
        <f t="shared" si="156"/>
        <v>2</v>
      </c>
      <c r="HK30">
        <f t="shared" si="157"/>
        <v>0</v>
      </c>
      <c r="HL30">
        <f t="shared" si="158"/>
        <v>0</v>
      </c>
      <c r="HM30">
        <f t="shared" si="159"/>
        <v>0</v>
      </c>
      <c r="HN30" t="b">
        <f t="shared" ca="1" si="160"/>
        <v>0</v>
      </c>
      <c r="HO30" t="b">
        <f t="shared" ca="1" si="161"/>
        <v>1</v>
      </c>
      <c r="HP30" t="b">
        <f t="shared" ca="1" si="162"/>
        <v>0</v>
      </c>
      <c r="HQ30">
        <f t="shared" ca="1" si="163"/>
        <v>0</v>
      </c>
      <c r="HR30" t="b">
        <f t="shared" si="164"/>
        <v>0</v>
      </c>
      <c r="HS30" t="b">
        <f t="shared" si="165"/>
        <v>0</v>
      </c>
      <c r="HT30">
        <f t="shared" ca="1" si="166"/>
        <v>0</v>
      </c>
      <c r="HU30" s="6">
        <f t="shared" ca="1" si="167"/>
        <v>1</v>
      </c>
      <c r="HV30" t="e">
        <f>MATCH(HV$2,Spieltage!$C$393:$C$401,0)+392</f>
        <v>#N/A</v>
      </c>
      <c r="HW30">
        <f>MATCH(HV$2,Spieltage!$E$393:$E$401,0)+392</f>
        <v>399</v>
      </c>
      <c r="HX30">
        <f t="shared" si="168"/>
        <v>399</v>
      </c>
      <c r="HY30">
        <f ca="1">INDIRECT("Spieltage!$F"&amp;'i2'!HX30)</f>
        <v>0</v>
      </c>
      <c r="HZ30" s="35" t="s">
        <v>12</v>
      </c>
      <c r="IA30" s="97">
        <f ca="1">INDIRECT("Spieltage!$H"&amp;'i2'!HX30)</f>
        <v>0</v>
      </c>
      <c r="IB30" t="str">
        <f t="shared" si="169"/>
        <v>A</v>
      </c>
      <c r="IC30">
        <f t="shared" si="170"/>
        <v>2</v>
      </c>
      <c r="ID30">
        <f t="shared" si="171"/>
        <v>0</v>
      </c>
      <c r="IE30">
        <f t="shared" si="172"/>
        <v>0</v>
      </c>
      <c r="IF30">
        <f t="shared" si="173"/>
        <v>0</v>
      </c>
      <c r="IG30" t="b">
        <f t="shared" ca="1" si="174"/>
        <v>0</v>
      </c>
      <c r="IH30" t="b">
        <f t="shared" ca="1" si="175"/>
        <v>1</v>
      </c>
      <c r="II30" t="b">
        <f t="shared" ca="1" si="176"/>
        <v>0</v>
      </c>
      <c r="IJ30">
        <f t="shared" ca="1" si="177"/>
        <v>0</v>
      </c>
      <c r="IK30" t="b">
        <f t="shared" si="178"/>
        <v>0</v>
      </c>
      <c r="IL30" t="b">
        <f t="shared" si="179"/>
        <v>0</v>
      </c>
      <c r="IM30">
        <f t="shared" ca="1" si="180"/>
        <v>0</v>
      </c>
      <c r="IN30" s="6">
        <f t="shared" ca="1" si="181"/>
        <v>1</v>
      </c>
      <c r="IO30" t="e">
        <f>MATCH(IO$2,Spieltage!$C$393:$C$401,0)+392</f>
        <v>#N/A</v>
      </c>
      <c r="IP30">
        <f>MATCH(IO$2,Spieltage!$E$393:$E$401,0)+392</f>
        <v>397</v>
      </c>
      <c r="IQ30">
        <f t="shared" si="182"/>
        <v>397</v>
      </c>
      <c r="IR30">
        <f ca="1">INDIRECT("Spieltage!$F"&amp;'i2'!IQ30)</f>
        <v>0</v>
      </c>
      <c r="IS30" s="35" t="s">
        <v>12</v>
      </c>
      <c r="IT30" s="97">
        <f ca="1">INDIRECT("Spieltage!$H"&amp;'i2'!IQ30)</f>
        <v>0</v>
      </c>
      <c r="IU30" t="str">
        <f t="shared" si="183"/>
        <v>A</v>
      </c>
      <c r="IV30">
        <f t="shared" si="184"/>
        <v>2</v>
      </c>
      <c r="IW30">
        <f t="shared" si="185"/>
        <v>0</v>
      </c>
      <c r="IX30">
        <f t="shared" si="186"/>
        <v>0</v>
      </c>
      <c r="IY30">
        <f t="shared" si="187"/>
        <v>0</v>
      </c>
      <c r="IZ30" t="b">
        <f t="shared" ca="1" si="188"/>
        <v>0</v>
      </c>
      <c r="JA30" t="b">
        <f t="shared" ca="1" si="189"/>
        <v>1</v>
      </c>
      <c r="JB30" t="b">
        <f t="shared" ca="1" si="190"/>
        <v>0</v>
      </c>
      <c r="JC30">
        <f t="shared" ca="1" si="191"/>
        <v>0</v>
      </c>
      <c r="JD30" t="b">
        <f t="shared" si="192"/>
        <v>0</v>
      </c>
      <c r="JE30" t="b">
        <f t="shared" si="193"/>
        <v>0</v>
      </c>
      <c r="JF30">
        <f t="shared" ca="1" si="194"/>
        <v>0</v>
      </c>
      <c r="JG30" s="6">
        <f t="shared" ca="1" si="195"/>
        <v>1</v>
      </c>
      <c r="JH30">
        <f>MATCH(JH$2,Spieltage!$C$393:$C$401,0)+392</f>
        <v>395</v>
      </c>
      <c r="JI30" t="e">
        <f>MATCH(JH$2,Spieltage!$E$393:$E$401,0)+392</f>
        <v>#N/A</v>
      </c>
      <c r="JJ30">
        <f t="shared" si="196"/>
        <v>395</v>
      </c>
      <c r="JK30">
        <f ca="1">INDIRECT("Spieltage!$F"&amp;'i2'!JJ30)</f>
        <v>0</v>
      </c>
      <c r="JL30" s="35" t="s">
        <v>12</v>
      </c>
      <c r="JM30" s="97">
        <f ca="1">INDIRECT("Spieltage!$H"&amp;'i2'!JJ30)</f>
        <v>0</v>
      </c>
      <c r="JN30" t="str">
        <f t="shared" si="197"/>
        <v>H</v>
      </c>
      <c r="JO30">
        <f t="shared" si="198"/>
        <v>1</v>
      </c>
      <c r="JP30" t="b">
        <f t="shared" ca="1" si="199"/>
        <v>0</v>
      </c>
      <c r="JQ30" t="b">
        <f t="shared" ca="1" si="200"/>
        <v>1</v>
      </c>
      <c r="JR30" t="b">
        <f t="shared" ca="1" si="201"/>
        <v>0</v>
      </c>
      <c r="JS30">
        <f t="shared" si="202"/>
        <v>0</v>
      </c>
      <c r="JT30">
        <f t="shared" si="203"/>
        <v>0</v>
      </c>
      <c r="JU30">
        <f t="shared" si="204"/>
        <v>0</v>
      </c>
      <c r="JV30">
        <f t="shared" ca="1" si="205"/>
        <v>0</v>
      </c>
      <c r="JW30">
        <f t="shared" ca="1" si="206"/>
        <v>0</v>
      </c>
      <c r="JX30">
        <f t="shared" ca="1" si="207"/>
        <v>1</v>
      </c>
      <c r="JY30" t="b">
        <f t="shared" si="208"/>
        <v>0</v>
      </c>
      <c r="JZ30" s="6" t="b">
        <f t="shared" si="209"/>
        <v>0</v>
      </c>
      <c r="KA30">
        <f>MATCH(KA$2,Spieltage!$C$393:$C$401,0)+392</f>
        <v>401</v>
      </c>
      <c r="KB30" t="e">
        <f>MATCH(KA$2,Spieltage!$E$393:$E$401,0)+392</f>
        <v>#N/A</v>
      </c>
      <c r="KC30">
        <f t="shared" si="210"/>
        <v>401</v>
      </c>
      <c r="KD30">
        <f ca="1">INDIRECT("Spieltage!$F"&amp;'i2'!KC30)</f>
        <v>0</v>
      </c>
      <c r="KE30" s="35" t="s">
        <v>12</v>
      </c>
      <c r="KF30" s="97">
        <f ca="1">INDIRECT("Spieltage!$H"&amp;'i2'!KC30)</f>
        <v>0</v>
      </c>
      <c r="KG30" t="str">
        <f t="shared" si="211"/>
        <v>H</v>
      </c>
      <c r="KH30">
        <f t="shared" si="212"/>
        <v>1</v>
      </c>
      <c r="KI30" t="b">
        <f t="shared" ca="1" si="213"/>
        <v>0</v>
      </c>
      <c r="KJ30" t="b">
        <f t="shared" ca="1" si="214"/>
        <v>1</v>
      </c>
      <c r="KK30" t="b">
        <f t="shared" ca="1" si="215"/>
        <v>0</v>
      </c>
      <c r="KL30">
        <f t="shared" si="216"/>
        <v>0</v>
      </c>
      <c r="KM30">
        <f t="shared" si="217"/>
        <v>0</v>
      </c>
      <c r="KN30">
        <f t="shared" si="218"/>
        <v>0</v>
      </c>
      <c r="KO30">
        <f t="shared" ca="1" si="219"/>
        <v>0</v>
      </c>
      <c r="KP30">
        <f t="shared" ca="1" si="220"/>
        <v>0</v>
      </c>
      <c r="KQ30">
        <f t="shared" ca="1" si="221"/>
        <v>1</v>
      </c>
      <c r="KR30" t="b">
        <f t="shared" si="222"/>
        <v>0</v>
      </c>
      <c r="KS30" s="6" t="b">
        <f t="shared" si="223"/>
        <v>0</v>
      </c>
      <c r="KT30">
        <f>MATCH(KT$2,Spieltage!$C$393:$C$401,0)+392</f>
        <v>393</v>
      </c>
      <c r="KU30" t="e">
        <f>MATCH(KT$2,Spieltage!$E$393:$E$401,0)+392</f>
        <v>#N/A</v>
      </c>
      <c r="KV30">
        <f t="shared" si="224"/>
        <v>393</v>
      </c>
      <c r="KW30">
        <f ca="1">INDIRECT("Spieltage!$F"&amp;'i2'!KV30)</f>
        <v>0</v>
      </c>
      <c r="KX30" s="35" t="s">
        <v>12</v>
      </c>
      <c r="KY30" s="97">
        <f ca="1">INDIRECT("Spieltage!$H"&amp;'i2'!KV30)</f>
        <v>0</v>
      </c>
      <c r="KZ30" t="str">
        <f t="shared" si="225"/>
        <v>H</v>
      </c>
      <c r="LA30">
        <f t="shared" si="226"/>
        <v>1</v>
      </c>
      <c r="LB30" t="b">
        <f t="shared" ca="1" si="227"/>
        <v>0</v>
      </c>
      <c r="LC30" t="b">
        <f t="shared" ca="1" si="228"/>
        <v>1</v>
      </c>
      <c r="LD30" t="b">
        <f t="shared" ca="1" si="229"/>
        <v>0</v>
      </c>
      <c r="LE30">
        <f t="shared" si="230"/>
        <v>0</v>
      </c>
      <c r="LF30">
        <f t="shared" si="231"/>
        <v>0</v>
      </c>
      <c r="LG30">
        <f t="shared" si="232"/>
        <v>0</v>
      </c>
      <c r="LH30">
        <f t="shared" ca="1" si="233"/>
        <v>0</v>
      </c>
      <c r="LI30">
        <f t="shared" ca="1" si="234"/>
        <v>0</v>
      </c>
      <c r="LJ30">
        <f t="shared" ca="1" si="235"/>
        <v>1</v>
      </c>
      <c r="LK30" t="b">
        <f t="shared" si="236"/>
        <v>0</v>
      </c>
      <c r="LL30" s="6" t="b">
        <f t="shared" si="237"/>
        <v>0</v>
      </c>
      <c r="LM30">
        <f>MATCH(LM$2,Spieltage!$C$393:$C$401,0)+392</f>
        <v>396</v>
      </c>
      <c r="LN30" t="e">
        <f>MATCH(LM$2,Spieltage!$E$393:$E$401,0)+392</f>
        <v>#N/A</v>
      </c>
      <c r="LO30">
        <f t="shared" si="238"/>
        <v>396</v>
      </c>
      <c r="LP30">
        <f ca="1">INDIRECT("Spieltage!$F"&amp;'i2'!LO30)</f>
        <v>0</v>
      </c>
      <c r="LQ30" s="35" t="s">
        <v>12</v>
      </c>
      <c r="LR30" s="97">
        <f ca="1">INDIRECT("Spieltage!$H"&amp;'i2'!LO30)</f>
        <v>0</v>
      </c>
      <c r="LS30" t="str">
        <f t="shared" si="239"/>
        <v>H</v>
      </c>
      <c r="LT30">
        <f t="shared" si="240"/>
        <v>1</v>
      </c>
      <c r="LU30" t="b">
        <f t="shared" ca="1" si="241"/>
        <v>0</v>
      </c>
      <c r="LV30" t="b">
        <f t="shared" ca="1" si="242"/>
        <v>1</v>
      </c>
      <c r="LW30" t="b">
        <f t="shared" ca="1" si="243"/>
        <v>0</v>
      </c>
      <c r="LX30">
        <f t="shared" si="244"/>
        <v>0</v>
      </c>
      <c r="LY30">
        <f t="shared" si="245"/>
        <v>0</v>
      </c>
      <c r="LZ30">
        <f t="shared" si="246"/>
        <v>0</v>
      </c>
      <c r="MA30">
        <f t="shared" ca="1" si="247"/>
        <v>0</v>
      </c>
      <c r="MB30">
        <f t="shared" ca="1" si="248"/>
        <v>0</v>
      </c>
      <c r="MC30">
        <f t="shared" ca="1" si="249"/>
        <v>1</v>
      </c>
      <c r="MD30" t="b">
        <f t="shared" si="250"/>
        <v>0</v>
      </c>
      <c r="ME30" s="6" t="b">
        <f t="shared" si="251"/>
        <v>0</v>
      </c>
    </row>
    <row r="31" spans="1:343" x14ac:dyDescent="0.2">
      <c r="A31" s="104" t="s">
        <v>239</v>
      </c>
      <c r="B31" t="e">
        <f>MATCH(B$2,Spieltage!$C$408:$C$416,0)+407</f>
        <v>#N/A</v>
      </c>
      <c r="C31">
        <f>MATCH(B$2,Spieltage!$E$408:$E$416,0)+407</f>
        <v>408</v>
      </c>
      <c r="D31">
        <f t="shared" si="0"/>
        <v>408</v>
      </c>
      <c r="E31">
        <f ca="1">INDIRECT("Spieltage!$F"&amp;'i2'!D31)</f>
        <v>0</v>
      </c>
      <c r="F31" s="35" t="s">
        <v>12</v>
      </c>
      <c r="G31" s="97">
        <f ca="1">INDIRECT("Spieltage!$H"&amp;'i2'!D31)</f>
        <v>0</v>
      </c>
      <c r="H31" t="str">
        <f t="shared" si="1"/>
        <v>A</v>
      </c>
      <c r="I31">
        <f t="shared" si="2"/>
        <v>2</v>
      </c>
      <c r="J31">
        <f t="shared" si="3"/>
        <v>0</v>
      </c>
      <c r="K31">
        <f t="shared" si="4"/>
        <v>0</v>
      </c>
      <c r="L31">
        <f t="shared" si="5"/>
        <v>0</v>
      </c>
      <c r="M31" t="b">
        <f t="shared" ca="1" si="6"/>
        <v>0</v>
      </c>
      <c r="N31" t="b">
        <f t="shared" ca="1" si="7"/>
        <v>1</v>
      </c>
      <c r="O31" t="b">
        <f t="shared" ca="1" si="8"/>
        <v>0</v>
      </c>
      <c r="P31">
        <f t="shared" ca="1" si="9"/>
        <v>0</v>
      </c>
      <c r="Q31" t="b">
        <f t="shared" si="10"/>
        <v>0</v>
      </c>
      <c r="R31" t="b">
        <f t="shared" si="11"/>
        <v>0</v>
      </c>
      <c r="S31">
        <f t="shared" ca="1" si="12"/>
        <v>0</v>
      </c>
      <c r="T31" s="6">
        <f t="shared" ca="1" si="13"/>
        <v>1</v>
      </c>
      <c r="U31" t="e">
        <f>MATCH(U$2,Spieltage!$C$408:$C$416,0)+407</f>
        <v>#N/A</v>
      </c>
      <c r="V31">
        <f>MATCH(U$2,Spieltage!$E$408:$E$416,0)+407</f>
        <v>411</v>
      </c>
      <c r="W31">
        <f t="shared" si="14"/>
        <v>411</v>
      </c>
      <c r="X31">
        <f ca="1">INDIRECT("Spieltage!$F"&amp;'i2'!W31)</f>
        <v>0</v>
      </c>
      <c r="Y31" s="35" t="s">
        <v>12</v>
      </c>
      <c r="Z31" s="97">
        <f ca="1">INDIRECT("Spieltage!$H"&amp;'i2'!W31)</f>
        <v>0</v>
      </c>
      <c r="AA31" t="str">
        <f t="shared" si="15"/>
        <v>A</v>
      </c>
      <c r="AB31">
        <f t="shared" si="16"/>
        <v>2</v>
      </c>
      <c r="AC31">
        <f t="shared" si="17"/>
        <v>0</v>
      </c>
      <c r="AD31">
        <f t="shared" si="18"/>
        <v>0</v>
      </c>
      <c r="AE31">
        <f t="shared" si="19"/>
        <v>0</v>
      </c>
      <c r="AF31" t="b">
        <f t="shared" ca="1" si="20"/>
        <v>0</v>
      </c>
      <c r="AG31" t="b">
        <f t="shared" ca="1" si="21"/>
        <v>1</v>
      </c>
      <c r="AH31" t="b">
        <f t="shared" ca="1" si="22"/>
        <v>0</v>
      </c>
      <c r="AI31">
        <f t="shared" ca="1" si="23"/>
        <v>0</v>
      </c>
      <c r="AJ31" t="b">
        <f t="shared" si="24"/>
        <v>0</v>
      </c>
      <c r="AK31" t="b">
        <f t="shared" si="25"/>
        <v>0</v>
      </c>
      <c r="AL31">
        <f t="shared" ca="1" si="26"/>
        <v>0</v>
      </c>
      <c r="AM31" s="6">
        <f t="shared" ca="1" si="27"/>
        <v>1</v>
      </c>
      <c r="AN31">
        <f>MATCH(AN$2,Spieltage!$C$408:$C$416,0)+407</f>
        <v>412</v>
      </c>
      <c r="AO31" t="e">
        <f>MATCH(AN$2,Spieltage!$E$408:$E$416,0)+407</f>
        <v>#N/A</v>
      </c>
      <c r="AP31">
        <f t="shared" si="28"/>
        <v>412</v>
      </c>
      <c r="AQ31">
        <f ca="1">INDIRECT("Spieltage!$F"&amp;'i2'!AP31)</f>
        <v>0</v>
      </c>
      <c r="AR31" s="35" t="s">
        <v>12</v>
      </c>
      <c r="AS31" s="97">
        <f ca="1">INDIRECT("Spieltage!$H"&amp;'i2'!AP31)</f>
        <v>0</v>
      </c>
      <c r="AT31" t="str">
        <f t="shared" si="29"/>
        <v>H</v>
      </c>
      <c r="AU31">
        <f t="shared" si="30"/>
        <v>1</v>
      </c>
      <c r="AV31" t="b">
        <f t="shared" ca="1" si="31"/>
        <v>0</v>
      </c>
      <c r="AW31" t="b">
        <f t="shared" ca="1" si="32"/>
        <v>1</v>
      </c>
      <c r="AX31" t="b">
        <f t="shared" ca="1" si="33"/>
        <v>0</v>
      </c>
      <c r="AY31">
        <f t="shared" si="34"/>
        <v>0</v>
      </c>
      <c r="AZ31">
        <f t="shared" si="35"/>
        <v>0</v>
      </c>
      <c r="BA31">
        <f t="shared" si="36"/>
        <v>0</v>
      </c>
      <c r="BB31">
        <f t="shared" ca="1" si="37"/>
        <v>0</v>
      </c>
      <c r="BC31">
        <f t="shared" ca="1" si="38"/>
        <v>0</v>
      </c>
      <c r="BD31">
        <f t="shared" ca="1" si="39"/>
        <v>1</v>
      </c>
      <c r="BE31" t="b">
        <f t="shared" si="40"/>
        <v>0</v>
      </c>
      <c r="BF31" s="6" t="b">
        <f t="shared" si="41"/>
        <v>0</v>
      </c>
      <c r="BG31">
        <f>MATCH(BG$2,Spieltage!$C$408:$C$416,0)+407</f>
        <v>410</v>
      </c>
      <c r="BH31" t="e">
        <f>MATCH(BG$2,Spieltage!$E$408:$E$416,0)+407</f>
        <v>#N/A</v>
      </c>
      <c r="BI31">
        <f t="shared" si="42"/>
        <v>410</v>
      </c>
      <c r="BJ31">
        <f ca="1">INDIRECT("Spieltage!$F"&amp;'i2'!BI31)</f>
        <v>0</v>
      </c>
      <c r="BK31" s="35" t="s">
        <v>12</v>
      </c>
      <c r="BL31" s="97">
        <f ca="1">INDIRECT("Spieltage!$H"&amp;'i2'!BI31)</f>
        <v>0</v>
      </c>
      <c r="BM31" t="str">
        <f t="shared" si="43"/>
        <v>H</v>
      </c>
      <c r="BN31">
        <f t="shared" si="44"/>
        <v>1</v>
      </c>
      <c r="BO31" t="b">
        <f t="shared" ca="1" si="45"/>
        <v>0</v>
      </c>
      <c r="BP31" t="b">
        <f t="shared" ca="1" si="46"/>
        <v>1</v>
      </c>
      <c r="BQ31" t="b">
        <f t="shared" ca="1" si="47"/>
        <v>0</v>
      </c>
      <c r="BR31">
        <f t="shared" si="48"/>
        <v>0</v>
      </c>
      <c r="BS31">
        <f t="shared" si="49"/>
        <v>0</v>
      </c>
      <c r="BT31">
        <f t="shared" si="50"/>
        <v>0</v>
      </c>
      <c r="BU31">
        <f t="shared" ca="1" si="51"/>
        <v>0</v>
      </c>
      <c r="BV31">
        <f t="shared" ca="1" si="52"/>
        <v>0</v>
      </c>
      <c r="BW31">
        <f t="shared" ca="1" si="53"/>
        <v>1</v>
      </c>
      <c r="BX31" t="b">
        <f t="shared" si="54"/>
        <v>0</v>
      </c>
      <c r="BY31" s="6" t="b">
        <f t="shared" si="55"/>
        <v>0</v>
      </c>
      <c r="BZ31">
        <f>MATCH(BZ$2,Spieltage!$C$408:$C$416,0)+407</f>
        <v>416</v>
      </c>
      <c r="CA31" t="e">
        <f>MATCH(BZ$2,Spieltage!$E$408:$E$416,0)+407</f>
        <v>#N/A</v>
      </c>
      <c r="CB31">
        <f t="shared" si="56"/>
        <v>416</v>
      </c>
      <c r="CC31">
        <f ca="1">INDIRECT("Spieltage!$F"&amp;'i2'!CB31)</f>
        <v>0</v>
      </c>
      <c r="CD31" s="35" t="s">
        <v>12</v>
      </c>
      <c r="CE31" s="97">
        <f ca="1">INDIRECT("Spieltage!$H"&amp;'i2'!CB31)</f>
        <v>0</v>
      </c>
      <c r="CF31" t="str">
        <f t="shared" si="57"/>
        <v>H</v>
      </c>
      <c r="CG31">
        <f t="shared" si="58"/>
        <v>1</v>
      </c>
      <c r="CH31" t="b">
        <f t="shared" ca="1" si="59"/>
        <v>0</v>
      </c>
      <c r="CI31" t="b">
        <f t="shared" ca="1" si="60"/>
        <v>1</v>
      </c>
      <c r="CJ31" t="b">
        <f t="shared" ca="1" si="61"/>
        <v>0</v>
      </c>
      <c r="CK31">
        <f t="shared" si="62"/>
        <v>0</v>
      </c>
      <c r="CL31">
        <f t="shared" si="63"/>
        <v>0</v>
      </c>
      <c r="CM31">
        <f t="shared" si="64"/>
        <v>0</v>
      </c>
      <c r="CN31">
        <f t="shared" ca="1" si="65"/>
        <v>0</v>
      </c>
      <c r="CO31">
        <f t="shared" ca="1" si="66"/>
        <v>0</v>
      </c>
      <c r="CP31">
        <f t="shared" ca="1" si="67"/>
        <v>1</v>
      </c>
      <c r="CQ31" t="b">
        <f t="shared" si="68"/>
        <v>0</v>
      </c>
      <c r="CR31" s="6" t="b">
        <f t="shared" si="69"/>
        <v>0</v>
      </c>
      <c r="CS31">
        <f>MATCH(CS$2,Spieltage!$C$408:$C$416,0)+407</f>
        <v>411</v>
      </c>
      <c r="CT31" t="e">
        <f>MATCH(CS$2,Spieltage!$E$408:$E$416,0)+407</f>
        <v>#N/A</v>
      </c>
      <c r="CU31">
        <f t="shared" si="70"/>
        <v>411</v>
      </c>
      <c r="CV31">
        <f ca="1">INDIRECT("Spieltage!$F"&amp;'i2'!CU31)</f>
        <v>0</v>
      </c>
      <c r="CW31" s="35" t="s">
        <v>12</v>
      </c>
      <c r="CX31" s="97">
        <f ca="1">INDIRECT("Spieltage!$H"&amp;'i2'!CU31)</f>
        <v>0</v>
      </c>
      <c r="CY31" t="str">
        <f t="shared" si="71"/>
        <v>H</v>
      </c>
      <c r="CZ31">
        <f t="shared" si="72"/>
        <v>1</v>
      </c>
      <c r="DA31" t="b">
        <f t="shared" ca="1" si="73"/>
        <v>0</v>
      </c>
      <c r="DB31" t="b">
        <f t="shared" ca="1" si="74"/>
        <v>1</v>
      </c>
      <c r="DC31" t="b">
        <f t="shared" ca="1" si="75"/>
        <v>0</v>
      </c>
      <c r="DD31">
        <f t="shared" si="76"/>
        <v>0</v>
      </c>
      <c r="DE31">
        <f t="shared" si="77"/>
        <v>0</v>
      </c>
      <c r="DF31">
        <f t="shared" si="78"/>
        <v>0</v>
      </c>
      <c r="DG31">
        <f t="shared" ca="1" si="79"/>
        <v>0</v>
      </c>
      <c r="DH31">
        <f t="shared" ca="1" si="80"/>
        <v>0</v>
      </c>
      <c r="DI31">
        <f t="shared" ca="1" si="81"/>
        <v>1</v>
      </c>
      <c r="DJ31" t="b">
        <f t="shared" si="82"/>
        <v>0</v>
      </c>
      <c r="DK31" s="6" t="b">
        <f t="shared" si="83"/>
        <v>0</v>
      </c>
      <c r="DL31">
        <f>MATCH(DL$2,Spieltage!$C$408:$C$416,0)+407</f>
        <v>408</v>
      </c>
      <c r="DM31" t="e">
        <f>MATCH(DL$2,Spieltage!$E$408:$E$416,0)+407</f>
        <v>#N/A</v>
      </c>
      <c r="DN31">
        <f t="shared" si="84"/>
        <v>408</v>
      </c>
      <c r="DO31">
        <f ca="1">INDIRECT("Spieltage!$F"&amp;'i2'!DN31)</f>
        <v>0</v>
      </c>
      <c r="DP31" s="35" t="s">
        <v>12</v>
      </c>
      <c r="DQ31" s="97">
        <f ca="1">INDIRECT("Spieltage!$H"&amp;'i2'!DN31)</f>
        <v>0</v>
      </c>
      <c r="DR31" t="str">
        <f t="shared" si="85"/>
        <v>H</v>
      </c>
      <c r="DS31">
        <f t="shared" si="86"/>
        <v>1</v>
      </c>
      <c r="DT31" t="b">
        <f t="shared" ca="1" si="87"/>
        <v>0</v>
      </c>
      <c r="DU31" t="b">
        <f t="shared" ca="1" si="88"/>
        <v>1</v>
      </c>
      <c r="DV31" t="b">
        <f t="shared" ca="1" si="89"/>
        <v>0</v>
      </c>
      <c r="DW31">
        <f t="shared" si="90"/>
        <v>0</v>
      </c>
      <c r="DX31">
        <f t="shared" si="91"/>
        <v>0</v>
      </c>
      <c r="DY31">
        <f t="shared" si="92"/>
        <v>0</v>
      </c>
      <c r="DZ31">
        <f t="shared" ca="1" si="93"/>
        <v>0</v>
      </c>
      <c r="EA31">
        <f t="shared" ca="1" si="94"/>
        <v>0</v>
      </c>
      <c r="EB31">
        <f t="shared" ca="1" si="95"/>
        <v>1</v>
      </c>
      <c r="EC31" t="b">
        <f t="shared" si="96"/>
        <v>0</v>
      </c>
      <c r="ED31" s="6" t="b">
        <f t="shared" si="97"/>
        <v>0</v>
      </c>
      <c r="EE31" t="e">
        <f>MATCH(EE$2,Spieltage!$C$408:$C$416,0)+407</f>
        <v>#N/A</v>
      </c>
      <c r="EF31">
        <f>MATCH(EE$2,Spieltage!$E$408:$E$416,0)+407</f>
        <v>413</v>
      </c>
      <c r="EG31">
        <f t="shared" si="98"/>
        <v>413</v>
      </c>
      <c r="EH31">
        <f ca="1">INDIRECT("Spieltage!$F"&amp;'i2'!EG31)</f>
        <v>0</v>
      </c>
      <c r="EI31" s="35" t="s">
        <v>12</v>
      </c>
      <c r="EJ31" s="97">
        <f ca="1">INDIRECT("Spieltage!$H"&amp;'i2'!EG31)</f>
        <v>0</v>
      </c>
      <c r="EK31" t="str">
        <f t="shared" si="99"/>
        <v>A</v>
      </c>
      <c r="EL31">
        <f t="shared" si="100"/>
        <v>2</v>
      </c>
      <c r="EM31">
        <f t="shared" si="101"/>
        <v>0</v>
      </c>
      <c r="EN31">
        <f t="shared" si="102"/>
        <v>0</v>
      </c>
      <c r="EO31">
        <f t="shared" si="103"/>
        <v>0</v>
      </c>
      <c r="EP31" t="b">
        <f t="shared" ca="1" si="104"/>
        <v>0</v>
      </c>
      <c r="EQ31" t="b">
        <f t="shared" ca="1" si="105"/>
        <v>1</v>
      </c>
      <c r="ER31" t="b">
        <f t="shared" ca="1" si="106"/>
        <v>0</v>
      </c>
      <c r="ES31">
        <f t="shared" ca="1" si="107"/>
        <v>0</v>
      </c>
      <c r="ET31" t="b">
        <f t="shared" si="108"/>
        <v>0</v>
      </c>
      <c r="EU31" t="b">
        <f t="shared" si="109"/>
        <v>0</v>
      </c>
      <c r="EV31">
        <f t="shared" ca="1" si="110"/>
        <v>0</v>
      </c>
      <c r="EW31" s="6">
        <f t="shared" ca="1" si="111"/>
        <v>1</v>
      </c>
      <c r="EX31" t="e">
        <f>MATCH(EX$2,Spieltage!$C$408:$C$416,0)+407</f>
        <v>#N/A</v>
      </c>
      <c r="EY31">
        <f>MATCH(EX$2,Spieltage!$E$408:$E$416,0)+407</f>
        <v>410</v>
      </c>
      <c r="EZ31">
        <f t="shared" si="112"/>
        <v>410</v>
      </c>
      <c r="FA31">
        <f ca="1">INDIRECT("Spieltage!$F"&amp;'i2'!EZ31)</f>
        <v>0</v>
      </c>
      <c r="FB31" s="35" t="s">
        <v>12</v>
      </c>
      <c r="FC31" s="97">
        <f ca="1">INDIRECT("Spieltage!$H"&amp;'i2'!EZ31)</f>
        <v>0</v>
      </c>
      <c r="FD31" t="str">
        <f t="shared" si="113"/>
        <v>A</v>
      </c>
      <c r="FE31">
        <f t="shared" si="114"/>
        <v>2</v>
      </c>
      <c r="FF31">
        <f t="shared" si="115"/>
        <v>0</v>
      </c>
      <c r="FG31">
        <f t="shared" si="116"/>
        <v>0</v>
      </c>
      <c r="FH31">
        <f t="shared" si="117"/>
        <v>0</v>
      </c>
      <c r="FI31" t="b">
        <f t="shared" ca="1" si="118"/>
        <v>0</v>
      </c>
      <c r="FJ31" t="b">
        <f t="shared" ca="1" si="119"/>
        <v>1</v>
      </c>
      <c r="FK31" t="b">
        <f t="shared" ca="1" si="120"/>
        <v>0</v>
      </c>
      <c r="FL31">
        <f t="shared" ca="1" si="121"/>
        <v>0</v>
      </c>
      <c r="FM31" t="b">
        <f t="shared" si="122"/>
        <v>0</v>
      </c>
      <c r="FN31" t="b">
        <f t="shared" si="123"/>
        <v>0</v>
      </c>
      <c r="FO31">
        <f t="shared" ca="1" si="124"/>
        <v>0</v>
      </c>
      <c r="FP31" s="6">
        <f t="shared" ca="1" si="125"/>
        <v>1</v>
      </c>
      <c r="FQ31" t="e">
        <f>MATCH(FQ$2,Spieltage!$C$408:$C$416,0)+407</f>
        <v>#N/A</v>
      </c>
      <c r="FR31">
        <f>MATCH(FQ$2,Spieltage!$E$408:$E$416,0)+407</f>
        <v>416</v>
      </c>
      <c r="FS31">
        <f t="shared" si="126"/>
        <v>416</v>
      </c>
      <c r="FT31">
        <f ca="1">INDIRECT("Spieltage!$F"&amp;'i2'!FS31)</f>
        <v>0</v>
      </c>
      <c r="FU31" s="35" t="s">
        <v>12</v>
      </c>
      <c r="FV31" s="97">
        <f ca="1">INDIRECT("Spieltage!$H"&amp;'i2'!FS31)</f>
        <v>0</v>
      </c>
      <c r="FW31" t="str">
        <f t="shared" si="127"/>
        <v>A</v>
      </c>
      <c r="FX31">
        <f t="shared" si="128"/>
        <v>2</v>
      </c>
      <c r="FY31">
        <f t="shared" si="129"/>
        <v>0</v>
      </c>
      <c r="FZ31">
        <f t="shared" si="130"/>
        <v>0</v>
      </c>
      <c r="GA31">
        <f t="shared" si="131"/>
        <v>0</v>
      </c>
      <c r="GB31" t="b">
        <f t="shared" ca="1" si="132"/>
        <v>0</v>
      </c>
      <c r="GC31" t="b">
        <f t="shared" ca="1" si="133"/>
        <v>1</v>
      </c>
      <c r="GD31" t="b">
        <f t="shared" ca="1" si="134"/>
        <v>0</v>
      </c>
      <c r="GE31">
        <f t="shared" ca="1" si="135"/>
        <v>0</v>
      </c>
      <c r="GF31" t="b">
        <f t="shared" si="136"/>
        <v>0</v>
      </c>
      <c r="GG31" t="b">
        <f t="shared" si="137"/>
        <v>0</v>
      </c>
      <c r="GH31">
        <f t="shared" ca="1" si="138"/>
        <v>0</v>
      </c>
      <c r="GI31" s="6">
        <f t="shared" ca="1" si="139"/>
        <v>1</v>
      </c>
      <c r="GJ31">
        <f>MATCH(GJ$2,Spieltage!$C$408:$C$416,0)+407</f>
        <v>415</v>
      </c>
      <c r="GK31" t="e">
        <f>MATCH(GJ$2,Spieltage!$E$408:$E$416,0)+407</f>
        <v>#N/A</v>
      </c>
      <c r="GL31">
        <f t="shared" si="140"/>
        <v>415</v>
      </c>
      <c r="GM31">
        <f ca="1">INDIRECT("Spieltage!$F"&amp;'i2'!GL31)</f>
        <v>0</v>
      </c>
      <c r="GN31" s="35" t="s">
        <v>12</v>
      </c>
      <c r="GO31" s="97">
        <f ca="1">INDIRECT("Spieltage!$H"&amp;'i2'!GL31)</f>
        <v>0</v>
      </c>
      <c r="GP31" t="str">
        <f t="shared" si="141"/>
        <v>H</v>
      </c>
      <c r="GQ31">
        <f t="shared" si="142"/>
        <v>1</v>
      </c>
      <c r="GR31" t="b">
        <f t="shared" ca="1" si="143"/>
        <v>0</v>
      </c>
      <c r="GS31" t="b">
        <f t="shared" ca="1" si="144"/>
        <v>1</v>
      </c>
      <c r="GT31" t="b">
        <f t="shared" ca="1" si="145"/>
        <v>0</v>
      </c>
      <c r="GU31">
        <f t="shared" si="146"/>
        <v>0</v>
      </c>
      <c r="GV31">
        <f t="shared" si="147"/>
        <v>0</v>
      </c>
      <c r="GW31">
        <f t="shared" si="148"/>
        <v>0</v>
      </c>
      <c r="GX31">
        <f t="shared" ca="1" si="149"/>
        <v>0</v>
      </c>
      <c r="GY31">
        <f t="shared" ca="1" si="150"/>
        <v>0</v>
      </c>
      <c r="GZ31">
        <f t="shared" ca="1" si="151"/>
        <v>1</v>
      </c>
      <c r="HA31" t="b">
        <f t="shared" si="152"/>
        <v>0</v>
      </c>
      <c r="HB31" s="6" t="b">
        <f t="shared" si="153"/>
        <v>0</v>
      </c>
      <c r="HC31">
        <f>MATCH(HC$2,Spieltage!$C$408:$C$416,0)+407</f>
        <v>413</v>
      </c>
      <c r="HD31" t="e">
        <f>MATCH(HC$2,Spieltage!$E$408:$E$416,0)+407</f>
        <v>#N/A</v>
      </c>
      <c r="HE31">
        <f t="shared" si="154"/>
        <v>413</v>
      </c>
      <c r="HF31">
        <f ca="1">INDIRECT("Spieltage!$F"&amp;'i2'!HE31)</f>
        <v>0</v>
      </c>
      <c r="HG31" s="35" t="s">
        <v>12</v>
      </c>
      <c r="HH31" s="97">
        <f ca="1">INDIRECT("Spieltage!$H"&amp;'i2'!HE31)</f>
        <v>0</v>
      </c>
      <c r="HI31" t="str">
        <f t="shared" si="155"/>
        <v>H</v>
      </c>
      <c r="HJ31">
        <f t="shared" si="156"/>
        <v>1</v>
      </c>
      <c r="HK31" t="b">
        <f t="shared" ca="1" si="157"/>
        <v>0</v>
      </c>
      <c r="HL31" t="b">
        <f t="shared" ca="1" si="158"/>
        <v>1</v>
      </c>
      <c r="HM31" t="b">
        <f t="shared" ca="1" si="159"/>
        <v>0</v>
      </c>
      <c r="HN31">
        <f t="shared" si="160"/>
        <v>0</v>
      </c>
      <c r="HO31">
        <f t="shared" si="161"/>
        <v>0</v>
      </c>
      <c r="HP31">
        <f t="shared" si="162"/>
        <v>0</v>
      </c>
      <c r="HQ31">
        <f t="shared" ca="1" si="163"/>
        <v>0</v>
      </c>
      <c r="HR31">
        <f t="shared" ca="1" si="164"/>
        <v>0</v>
      </c>
      <c r="HS31">
        <f t="shared" ca="1" si="165"/>
        <v>1</v>
      </c>
      <c r="HT31" t="b">
        <f t="shared" si="166"/>
        <v>0</v>
      </c>
      <c r="HU31" s="6" t="b">
        <f t="shared" si="167"/>
        <v>0</v>
      </c>
      <c r="HV31">
        <f>MATCH(HV$2,Spieltage!$C$408:$C$416,0)+407</f>
        <v>414</v>
      </c>
      <c r="HW31" t="e">
        <f>MATCH(HV$2,Spieltage!$E$408:$E$416,0)+407</f>
        <v>#N/A</v>
      </c>
      <c r="HX31">
        <f t="shared" si="168"/>
        <v>414</v>
      </c>
      <c r="HY31">
        <f ca="1">INDIRECT("Spieltage!$F"&amp;'i2'!HX31)</f>
        <v>0</v>
      </c>
      <c r="HZ31" s="35" t="s">
        <v>12</v>
      </c>
      <c r="IA31" s="97">
        <f ca="1">INDIRECT("Spieltage!$H"&amp;'i2'!HX31)</f>
        <v>0</v>
      </c>
      <c r="IB31" t="str">
        <f t="shared" si="169"/>
        <v>H</v>
      </c>
      <c r="IC31">
        <f t="shared" si="170"/>
        <v>1</v>
      </c>
      <c r="ID31" t="b">
        <f t="shared" ca="1" si="171"/>
        <v>0</v>
      </c>
      <c r="IE31" t="b">
        <f t="shared" ca="1" si="172"/>
        <v>1</v>
      </c>
      <c r="IF31" t="b">
        <f t="shared" ca="1" si="173"/>
        <v>0</v>
      </c>
      <c r="IG31">
        <f t="shared" si="174"/>
        <v>0</v>
      </c>
      <c r="IH31">
        <f t="shared" si="175"/>
        <v>0</v>
      </c>
      <c r="II31">
        <f t="shared" si="176"/>
        <v>0</v>
      </c>
      <c r="IJ31">
        <f t="shared" ca="1" si="177"/>
        <v>0</v>
      </c>
      <c r="IK31">
        <f t="shared" ca="1" si="178"/>
        <v>0</v>
      </c>
      <c r="IL31">
        <f t="shared" ca="1" si="179"/>
        <v>1</v>
      </c>
      <c r="IM31" t="b">
        <f t="shared" si="180"/>
        <v>0</v>
      </c>
      <c r="IN31" s="6" t="b">
        <f t="shared" si="181"/>
        <v>0</v>
      </c>
      <c r="IO31">
        <f>MATCH(IO$2,Spieltage!$C$408:$C$416,0)+407</f>
        <v>409</v>
      </c>
      <c r="IP31" t="e">
        <f>MATCH(IO$2,Spieltage!$E$408:$E$416,0)+407</f>
        <v>#N/A</v>
      </c>
      <c r="IQ31">
        <f t="shared" si="182"/>
        <v>409</v>
      </c>
      <c r="IR31">
        <f ca="1">INDIRECT("Spieltage!$F"&amp;'i2'!IQ31)</f>
        <v>0</v>
      </c>
      <c r="IS31" s="35" t="s">
        <v>12</v>
      </c>
      <c r="IT31" s="97">
        <f ca="1">INDIRECT("Spieltage!$H"&amp;'i2'!IQ31)</f>
        <v>0</v>
      </c>
      <c r="IU31" t="str">
        <f t="shared" si="183"/>
        <v>H</v>
      </c>
      <c r="IV31">
        <f t="shared" si="184"/>
        <v>1</v>
      </c>
      <c r="IW31" t="b">
        <f t="shared" ca="1" si="185"/>
        <v>0</v>
      </c>
      <c r="IX31" t="b">
        <f t="shared" ca="1" si="186"/>
        <v>1</v>
      </c>
      <c r="IY31" t="b">
        <f t="shared" ca="1" si="187"/>
        <v>0</v>
      </c>
      <c r="IZ31">
        <f t="shared" si="188"/>
        <v>0</v>
      </c>
      <c r="JA31">
        <f t="shared" si="189"/>
        <v>0</v>
      </c>
      <c r="JB31">
        <f t="shared" si="190"/>
        <v>0</v>
      </c>
      <c r="JC31">
        <f t="shared" ca="1" si="191"/>
        <v>0</v>
      </c>
      <c r="JD31">
        <f t="shared" ca="1" si="192"/>
        <v>0</v>
      </c>
      <c r="JE31">
        <f t="shared" ca="1" si="193"/>
        <v>1</v>
      </c>
      <c r="JF31" t="b">
        <f t="shared" si="194"/>
        <v>0</v>
      </c>
      <c r="JG31" s="6" t="b">
        <f t="shared" si="195"/>
        <v>0</v>
      </c>
      <c r="JH31" t="e">
        <f>MATCH(JH$2,Spieltage!$C$408:$C$416,0)+407</f>
        <v>#N/A</v>
      </c>
      <c r="JI31">
        <f>MATCH(JH$2,Spieltage!$E$408:$E$416,0)+407</f>
        <v>414</v>
      </c>
      <c r="JJ31">
        <f t="shared" si="196"/>
        <v>414</v>
      </c>
      <c r="JK31">
        <f ca="1">INDIRECT("Spieltage!$F"&amp;'i2'!JJ31)</f>
        <v>0</v>
      </c>
      <c r="JL31" s="35" t="s">
        <v>12</v>
      </c>
      <c r="JM31" s="97">
        <f ca="1">INDIRECT("Spieltage!$H"&amp;'i2'!JJ31)</f>
        <v>0</v>
      </c>
      <c r="JN31" t="str">
        <f t="shared" si="197"/>
        <v>A</v>
      </c>
      <c r="JO31">
        <f t="shared" si="198"/>
        <v>2</v>
      </c>
      <c r="JP31">
        <f t="shared" si="199"/>
        <v>0</v>
      </c>
      <c r="JQ31">
        <f t="shared" si="200"/>
        <v>0</v>
      </c>
      <c r="JR31">
        <f t="shared" si="201"/>
        <v>0</v>
      </c>
      <c r="JS31" t="b">
        <f t="shared" ca="1" si="202"/>
        <v>0</v>
      </c>
      <c r="JT31" t="b">
        <f t="shared" ca="1" si="203"/>
        <v>1</v>
      </c>
      <c r="JU31" t="b">
        <f t="shared" ca="1" si="204"/>
        <v>0</v>
      </c>
      <c r="JV31">
        <f t="shared" ca="1" si="205"/>
        <v>0</v>
      </c>
      <c r="JW31" t="b">
        <f t="shared" si="206"/>
        <v>0</v>
      </c>
      <c r="JX31" t="b">
        <f t="shared" si="207"/>
        <v>0</v>
      </c>
      <c r="JY31">
        <f t="shared" ca="1" si="208"/>
        <v>0</v>
      </c>
      <c r="JZ31" s="6">
        <f t="shared" ca="1" si="209"/>
        <v>1</v>
      </c>
      <c r="KA31" t="e">
        <f>MATCH(KA$2,Spieltage!$C$408:$C$416,0)+407</f>
        <v>#N/A</v>
      </c>
      <c r="KB31">
        <f>MATCH(KA$2,Spieltage!$E$408:$E$416,0)+407</f>
        <v>409</v>
      </c>
      <c r="KC31">
        <f t="shared" si="210"/>
        <v>409</v>
      </c>
      <c r="KD31">
        <f ca="1">INDIRECT("Spieltage!$F"&amp;'i2'!KC31)</f>
        <v>0</v>
      </c>
      <c r="KE31" s="35" t="s">
        <v>12</v>
      </c>
      <c r="KF31" s="97">
        <f ca="1">INDIRECT("Spieltage!$H"&amp;'i2'!KC31)</f>
        <v>0</v>
      </c>
      <c r="KG31" t="str">
        <f t="shared" si="211"/>
        <v>A</v>
      </c>
      <c r="KH31">
        <f t="shared" si="212"/>
        <v>2</v>
      </c>
      <c r="KI31">
        <f t="shared" si="213"/>
        <v>0</v>
      </c>
      <c r="KJ31">
        <f t="shared" si="214"/>
        <v>0</v>
      </c>
      <c r="KK31">
        <f t="shared" si="215"/>
        <v>0</v>
      </c>
      <c r="KL31" t="b">
        <f t="shared" ca="1" si="216"/>
        <v>0</v>
      </c>
      <c r="KM31" t="b">
        <f t="shared" ca="1" si="217"/>
        <v>1</v>
      </c>
      <c r="KN31" t="b">
        <f t="shared" ca="1" si="218"/>
        <v>0</v>
      </c>
      <c r="KO31">
        <f t="shared" ca="1" si="219"/>
        <v>0</v>
      </c>
      <c r="KP31" t="b">
        <f t="shared" si="220"/>
        <v>0</v>
      </c>
      <c r="KQ31" t="b">
        <f t="shared" si="221"/>
        <v>0</v>
      </c>
      <c r="KR31">
        <f t="shared" ca="1" si="222"/>
        <v>0</v>
      </c>
      <c r="KS31" s="6">
        <f t="shared" ca="1" si="223"/>
        <v>1</v>
      </c>
      <c r="KT31" t="e">
        <f>MATCH(KT$2,Spieltage!$C$408:$C$416,0)+407</f>
        <v>#N/A</v>
      </c>
      <c r="KU31">
        <f>MATCH(KT$2,Spieltage!$E$408:$E$416,0)+407</f>
        <v>415</v>
      </c>
      <c r="KV31">
        <f t="shared" si="224"/>
        <v>415</v>
      </c>
      <c r="KW31">
        <f ca="1">INDIRECT("Spieltage!$F"&amp;'i2'!KV31)</f>
        <v>0</v>
      </c>
      <c r="KX31" s="35" t="s">
        <v>12</v>
      </c>
      <c r="KY31" s="97">
        <f ca="1">INDIRECT("Spieltage!$H"&amp;'i2'!KV31)</f>
        <v>0</v>
      </c>
      <c r="KZ31" t="str">
        <f t="shared" si="225"/>
        <v>A</v>
      </c>
      <c r="LA31">
        <f t="shared" si="226"/>
        <v>2</v>
      </c>
      <c r="LB31">
        <f t="shared" si="227"/>
        <v>0</v>
      </c>
      <c r="LC31">
        <f t="shared" si="228"/>
        <v>0</v>
      </c>
      <c r="LD31">
        <f t="shared" si="229"/>
        <v>0</v>
      </c>
      <c r="LE31" t="b">
        <f t="shared" ca="1" si="230"/>
        <v>0</v>
      </c>
      <c r="LF31" t="b">
        <f t="shared" ca="1" si="231"/>
        <v>1</v>
      </c>
      <c r="LG31" t="b">
        <f t="shared" ca="1" si="232"/>
        <v>0</v>
      </c>
      <c r="LH31">
        <f t="shared" ca="1" si="233"/>
        <v>0</v>
      </c>
      <c r="LI31" t="b">
        <f t="shared" si="234"/>
        <v>0</v>
      </c>
      <c r="LJ31" t="b">
        <f t="shared" si="235"/>
        <v>0</v>
      </c>
      <c r="LK31">
        <f t="shared" ca="1" si="236"/>
        <v>0</v>
      </c>
      <c r="LL31" s="6">
        <f t="shared" ca="1" si="237"/>
        <v>1</v>
      </c>
      <c r="LM31" t="e">
        <f>MATCH(LM$2,Spieltage!$C$408:$C$416,0)+407</f>
        <v>#N/A</v>
      </c>
      <c r="LN31">
        <f>MATCH(LM$2,Spieltage!$E$408:$E$416,0)+407</f>
        <v>412</v>
      </c>
      <c r="LO31">
        <f t="shared" si="238"/>
        <v>412</v>
      </c>
      <c r="LP31">
        <f ca="1">INDIRECT("Spieltage!$F"&amp;'i2'!LO31)</f>
        <v>0</v>
      </c>
      <c r="LQ31" s="35" t="s">
        <v>12</v>
      </c>
      <c r="LR31" s="97">
        <f ca="1">INDIRECT("Spieltage!$H"&amp;'i2'!LO31)</f>
        <v>0</v>
      </c>
      <c r="LS31" t="str">
        <f t="shared" si="239"/>
        <v>A</v>
      </c>
      <c r="LT31">
        <f t="shared" si="240"/>
        <v>2</v>
      </c>
      <c r="LU31">
        <f t="shared" si="241"/>
        <v>0</v>
      </c>
      <c r="LV31">
        <f t="shared" si="242"/>
        <v>0</v>
      </c>
      <c r="LW31">
        <f t="shared" si="243"/>
        <v>0</v>
      </c>
      <c r="LX31" t="b">
        <f t="shared" ca="1" si="244"/>
        <v>0</v>
      </c>
      <c r="LY31" t="b">
        <f t="shared" ca="1" si="245"/>
        <v>1</v>
      </c>
      <c r="LZ31" t="b">
        <f t="shared" ca="1" si="246"/>
        <v>0</v>
      </c>
      <c r="MA31">
        <f t="shared" ca="1" si="247"/>
        <v>0</v>
      </c>
      <c r="MB31" t="b">
        <f t="shared" si="248"/>
        <v>0</v>
      </c>
      <c r="MC31" t="b">
        <f t="shared" si="249"/>
        <v>0</v>
      </c>
      <c r="MD31">
        <f t="shared" ca="1" si="250"/>
        <v>0</v>
      </c>
      <c r="ME31" s="6">
        <f t="shared" ca="1" si="251"/>
        <v>1</v>
      </c>
    </row>
    <row r="32" spans="1:343" x14ac:dyDescent="0.2">
      <c r="A32" s="104" t="s">
        <v>240</v>
      </c>
      <c r="B32" t="e">
        <f>MATCH(B$2,Spieltage!$C$423:$C$431,0)+422</f>
        <v>#N/A</v>
      </c>
      <c r="C32">
        <f>MATCH(B$2,Spieltage!$E$423:$E$431,0)+422</f>
        <v>423</v>
      </c>
      <c r="D32">
        <f t="shared" si="0"/>
        <v>423</v>
      </c>
      <c r="E32">
        <f ca="1">INDIRECT("Spieltage!$F"&amp;'i2'!D32)</f>
        <v>0</v>
      </c>
      <c r="F32" s="35" t="s">
        <v>12</v>
      </c>
      <c r="G32" s="97">
        <f ca="1">INDIRECT("Spieltage!$H"&amp;'i2'!D32)</f>
        <v>0</v>
      </c>
      <c r="H32" t="str">
        <f t="shared" si="1"/>
        <v>A</v>
      </c>
      <c r="I32">
        <f t="shared" si="2"/>
        <v>2</v>
      </c>
      <c r="J32">
        <f t="shared" si="3"/>
        <v>0</v>
      </c>
      <c r="K32">
        <f t="shared" si="4"/>
        <v>0</v>
      </c>
      <c r="L32">
        <f t="shared" si="5"/>
        <v>0</v>
      </c>
      <c r="M32" t="b">
        <f t="shared" ca="1" si="6"/>
        <v>0</v>
      </c>
      <c r="N32" t="b">
        <f t="shared" ca="1" si="7"/>
        <v>1</v>
      </c>
      <c r="O32" t="b">
        <f t="shared" ca="1" si="8"/>
        <v>0</v>
      </c>
      <c r="P32">
        <f t="shared" ca="1" si="9"/>
        <v>0</v>
      </c>
      <c r="Q32" t="b">
        <f t="shared" si="10"/>
        <v>0</v>
      </c>
      <c r="R32" t="b">
        <f t="shared" si="11"/>
        <v>0</v>
      </c>
      <c r="S32">
        <f t="shared" ca="1" si="12"/>
        <v>0</v>
      </c>
      <c r="T32" s="6">
        <f t="shared" ca="1" si="13"/>
        <v>1</v>
      </c>
      <c r="U32">
        <f>MATCH(U$2,Spieltage!$C$423:$C$431,0)+422</f>
        <v>428</v>
      </c>
      <c r="V32" t="e">
        <f>MATCH(U$2,Spieltage!$E$423:$E$431,0)+422</f>
        <v>#N/A</v>
      </c>
      <c r="W32">
        <f t="shared" si="14"/>
        <v>428</v>
      </c>
      <c r="X32">
        <f ca="1">INDIRECT("Spieltage!$F"&amp;'i2'!W32)</f>
        <v>0</v>
      </c>
      <c r="Y32" s="35" t="s">
        <v>12</v>
      </c>
      <c r="Z32" s="97">
        <f ca="1">INDIRECT("Spieltage!$H"&amp;'i2'!W32)</f>
        <v>0</v>
      </c>
      <c r="AA32" t="str">
        <f t="shared" si="15"/>
        <v>H</v>
      </c>
      <c r="AB32">
        <f t="shared" si="16"/>
        <v>1</v>
      </c>
      <c r="AC32" t="b">
        <f t="shared" ca="1" si="17"/>
        <v>0</v>
      </c>
      <c r="AD32" t="b">
        <f t="shared" ca="1" si="18"/>
        <v>1</v>
      </c>
      <c r="AE32" t="b">
        <f t="shared" ca="1" si="19"/>
        <v>0</v>
      </c>
      <c r="AF32">
        <f t="shared" si="20"/>
        <v>0</v>
      </c>
      <c r="AG32">
        <f t="shared" si="21"/>
        <v>0</v>
      </c>
      <c r="AH32">
        <f t="shared" si="22"/>
        <v>0</v>
      </c>
      <c r="AI32">
        <f t="shared" ca="1" si="23"/>
        <v>0</v>
      </c>
      <c r="AJ32">
        <f t="shared" ca="1" si="24"/>
        <v>0</v>
      </c>
      <c r="AK32">
        <f t="shared" ca="1" si="25"/>
        <v>1</v>
      </c>
      <c r="AL32" t="b">
        <f t="shared" si="26"/>
        <v>0</v>
      </c>
      <c r="AM32" s="6" t="b">
        <f t="shared" si="27"/>
        <v>0</v>
      </c>
      <c r="AN32" t="e">
        <f>MATCH(AN$2,Spieltage!$C$423:$C$431,0)+422</f>
        <v>#N/A</v>
      </c>
      <c r="AO32">
        <f>MATCH(AN$2,Spieltage!$E$423:$E$431,0)+422</f>
        <v>424</v>
      </c>
      <c r="AP32">
        <f t="shared" si="28"/>
        <v>424</v>
      </c>
      <c r="AQ32">
        <f ca="1">INDIRECT("Spieltage!$F"&amp;'i2'!AP32)</f>
        <v>0</v>
      </c>
      <c r="AR32" s="35" t="s">
        <v>12</v>
      </c>
      <c r="AS32" s="97">
        <f ca="1">INDIRECT("Spieltage!$H"&amp;'i2'!AP32)</f>
        <v>0</v>
      </c>
      <c r="AT32" t="str">
        <f t="shared" si="29"/>
        <v>A</v>
      </c>
      <c r="AU32">
        <f t="shared" si="30"/>
        <v>2</v>
      </c>
      <c r="AV32">
        <f t="shared" si="31"/>
        <v>0</v>
      </c>
      <c r="AW32">
        <f t="shared" si="32"/>
        <v>0</v>
      </c>
      <c r="AX32">
        <f t="shared" si="33"/>
        <v>0</v>
      </c>
      <c r="AY32" t="b">
        <f t="shared" ca="1" si="34"/>
        <v>0</v>
      </c>
      <c r="AZ32" t="b">
        <f t="shared" ca="1" si="35"/>
        <v>1</v>
      </c>
      <c r="BA32" t="b">
        <f t="shared" ca="1" si="36"/>
        <v>0</v>
      </c>
      <c r="BB32">
        <f t="shared" ca="1" si="37"/>
        <v>0</v>
      </c>
      <c r="BC32" t="b">
        <f t="shared" si="38"/>
        <v>0</v>
      </c>
      <c r="BD32" t="b">
        <f t="shared" si="39"/>
        <v>0</v>
      </c>
      <c r="BE32">
        <f t="shared" ca="1" si="40"/>
        <v>0</v>
      </c>
      <c r="BF32" s="6">
        <f t="shared" ca="1" si="41"/>
        <v>1</v>
      </c>
      <c r="BG32" t="e">
        <f>MATCH(BG$2,Spieltage!$C$423:$C$431,0)+422</f>
        <v>#N/A</v>
      </c>
      <c r="BH32">
        <f>MATCH(BG$2,Spieltage!$E$423:$E$431,0)+422</f>
        <v>430</v>
      </c>
      <c r="BI32">
        <f t="shared" si="42"/>
        <v>430</v>
      </c>
      <c r="BJ32">
        <f ca="1">INDIRECT("Spieltage!$F"&amp;'i2'!BI32)</f>
        <v>0</v>
      </c>
      <c r="BK32" s="35" t="s">
        <v>12</v>
      </c>
      <c r="BL32" s="97">
        <f ca="1">INDIRECT("Spieltage!$H"&amp;'i2'!BI32)</f>
        <v>0</v>
      </c>
      <c r="BM32" t="str">
        <f t="shared" si="43"/>
        <v>A</v>
      </c>
      <c r="BN32">
        <f t="shared" si="44"/>
        <v>2</v>
      </c>
      <c r="BO32">
        <f t="shared" si="45"/>
        <v>0</v>
      </c>
      <c r="BP32">
        <f t="shared" si="46"/>
        <v>0</v>
      </c>
      <c r="BQ32">
        <f t="shared" si="47"/>
        <v>0</v>
      </c>
      <c r="BR32" t="b">
        <f t="shared" ca="1" si="48"/>
        <v>0</v>
      </c>
      <c r="BS32" t="b">
        <f t="shared" ca="1" si="49"/>
        <v>1</v>
      </c>
      <c r="BT32" t="b">
        <f t="shared" ca="1" si="50"/>
        <v>0</v>
      </c>
      <c r="BU32">
        <f t="shared" ca="1" si="51"/>
        <v>0</v>
      </c>
      <c r="BV32" t="b">
        <f t="shared" si="52"/>
        <v>0</v>
      </c>
      <c r="BW32" t="b">
        <f t="shared" si="53"/>
        <v>0</v>
      </c>
      <c r="BX32">
        <f t="shared" ca="1" si="54"/>
        <v>0</v>
      </c>
      <c r="BY32" s="6">
        <f t="shared" ca="1" si="55"/>
        <v>1</v>
      </c>
      <c r="BZ32" t="e">
        <f>MATCH(BZ$2,Spieltage!$C$423:$C$431,0)+422</f>
        <v>#N/A</v>
      </c>
      <c r="CA32">
        <f>MATCH(BZ$2,Spieltage!$E$423:$E$431,0)+422</f>
        <v>425</v>
      </c>
      <c r="CB32">
        <f t="shared" si="56"/>
        <v>425</v>
      </c>
      <c r="CC32">
        <f ca="1">INDIRECT("Spieltage!$F"&amp;'i2'!CB32)</f>
        <v>0</v>
      </c>
      <c r="CD32" s="35" t="s">
        <v>12</v>
      </c>
      <c r="CE32" s="97">
        <f ca="1">INDIRECT("Spieltage!$H"&amp;'i2'!CB32)</f>
        <v>0</v>
      </c>
      <c r="CF32" t="str">
        <f t="shared" si="57"/>
        <v>A</v>
      </c>
      <c r="CG32">
        <f t="shared" si="58"/>
        <v>2</v>
      </c>
      <c r="CH32">
        <f t="shared" si="59"/>
        <v>0</v>
      </c>
      <c r="CI32">
        <f t="shared" si="60"/>
        <v>0</v>
      </c>
      <c r="CJ32">
        <f t="shared" si="61"/>
        <v>0</v>
      </c>
      <c r="CK32" t="b">
        <f t="shared" ca="1" si="62"/>
        <v>0</v>
      </c>
      <c r="CL32" t="b">
        <f t="shared" ca="1" si="63"/>
        <v>1</v>
      </c>
      <c r="CM32" t="b">
        <f t="shared" ca="1" si="64"/>
        <v>0</v>
      </c>
      <c r="CN32">
        <f t="shared" ca="1" si="65"/>
        <v>0</v>
      </c>
      <c r="CO32" t="b">
        <f t="shared" si="66"/>
        <v>0</v>
      </c>
      <c r="CP32" t="b">
        <f t="shared" si="67"/>
        <v>0</v>
      </c>
      <c r="CQ32">
        <f t="shared" ca="1" si="68"/>
        <v>0</v>
      </c>
      <c r="CR32" s="6">
        <f t="shared" ca="1" si="69"/>
        <v>1</v>
      </c>
      <c r="CS32" t="e">
        <f>MATCH(CS$2,Spieltage!$C$423:$C$431,0)+422</f>
        <v>#N/A</v>
      </c>
      <c r="CT32">
        <f>MATCH(CS$2,Spieltage!$E$423:$E$431,0)+422</f>
        <v>427</v>
      </c>
      <c r="CU32">
        <f t="shared" si="70"/>
        <v>427</v>
      </c>
      <c r="CV32">
        <f ca="1">INDIRECT("Spieltage!$F"&amp;'i2'!CU32)</f>
        <v>0</v>
      </c>
      <c r="CW32" s="35" t="s">
        <v>12</v>
      </c>
      <c r="CX32" s="97">
        <f ca="1">INDIRECT("Spieltage!$H"&amp;'i2'!CU32)</f>
        <v>0</v>
      </c>
      <c r="CY32" t="str">
        <f t="shared" si="71"/>
        <v>A</v>
      </c>
      <c r="CZ32">
        <f t="shared" si="72"/>
        <v>2</v>
      </c>
      <c r="DA32">
        <f t="shared" si="73"/>
        <v>0</v>
      </c>
      <c r="DB32">
        <f t="shared" si="74"/>
        <v>0</v>
      </c>
      <c r="DC32">
        <f t="shared" si="75"/>
        <v>0</v>
      </c>
      <c r="DD32" t="b">
        <f t="shared" ca="1" si="76"/>
        <v>0</v>
      </c>
      <c r="DE32" t="b">
        <f t="shared" ca="1" si="77"/>
        <v>1</v>
      </c>
      <c r="DF32" t="b">
        <f t="shared" ca="1" si="78"/>
        <v>0</v>
      </c>
      <c r="DG32">
        <f t="shared" ca="1" si="79"/>
        <v>0</v>
      </c>
      <c r="DH32" t="b">
        <f t="shared" si="80"/>
        <v>0</v>
      </c>
      <c r="DI32" t="b">
        <f t="shared" si="81"/>
        <v>0</v>
      </c>
      <c r="DJ32">
        <f t="shared" ca="1" si="82"/>
        <v>0</v>
      </c>
      <c r="DK32" s="6">
        <f t="shared" ca="1" si="83"/>
        <v>1</v>
      </c>
      <c r="DL32" t="e">
        <f>MATCH(DL$2,Spieltage!$C$423:$C$431,0)+422</f>
        <v>#N/A</v>
      </c>
      <c r="DM32">
        <f>MATCH(DL$2,Spieltage!$E$423:$E$431,0)+422</f>
        <v>426</v>
      </c>
      <c r="DN32">
        <f t="shared" si="84"/>
        <v>426</v>
      </c>
      <c r="DO32">
        <f ca="1">INDIRECT("Spieltage!$F"&amp;'i2'!DN32)</f>
        <v>0</v>
      </c>
      <c r="DP32" s="35" t="s">
        <v>12</v>
      </c>
      <c r="DQ32" s="97">
        <f ca="1">INDIRECT("Spieltage!$H"&amp;'i2'!DN32)</f>
        <v>0</v>
      </c>
      <c r="DR32" t="str">
        <f t="shared" si="85"/>
        <v>A</v>
      </c>
      <c r="DS32">
        <f t="shared" si="86"/>
        <v>2</v>
      </c>
      <c r="DT32">
        <f t="shared" si="87"/>
        <v>0</v>
      </c>
      <c r="DU32">
        <f t="shared" si="88"/>
        <v>0</v>
      </c>
      <c r="DV32">
        <f t="shared" si="89"/>
        <v>0</v>
      </c>
      <c r="DW32" t="b">
        <f t="shared" ca="1" si="90"/>
        <v>0</v>
      </c>
      <c r="DX32" t="b">
        <f t="shared" ca="1" si="91"/>
        <v>1</v>
      </c>
      <c r="DY32" t="b">
        <f t="shared" ca="1" si="92"/>
        <v>0</v>
      </c>
      <c r="DZ32">
        <f t="shared" ca="1" si="93"/>
        <v>0</v>
      </c>
      <c r="EA32" t="b">
        <f t="shared" si="94"/>
        <v>0</v>
      </c>
      <c r="EB32" t="b">
        <f t="shared" si="95"/>
        <v>0</v>
      </c>
      <c r="EC32">
        <f t="shared" ca="1" si="96"/>
        <v>0</v>
      </c>
      <c r="ED32" s="6">
        <f t="shared" ca="1" si="97"/>
        <v>1</v>
      </c>
      <c r="EE32">
        <f>MATCH(EE$2,Spieltage!$C$423:$C$431,0)+422</f>
        <v>430</v>
      </c>
      <c r="EF32" t="e">
        <f>MATCH(EE$2,Spieltage!$E$423:$E$431,0)+422</f>
        <v>#N/A</v>
      </c>
      <c r="EG32">
        <f t="shared" si="98"/>
        <v>430</v>
      </c>
      <c r="EH32">
        <f ca="1">INDIRECT("Spieltage!$F"&amp;'i2'!EG32)</f>
        <v>0</v>
      </c>
      <c r="EI32" s="35" t="s">
        <v>12</v>
      </c>
      <c r="EJ32" s="97">
        <f ca="1">INDIRECT("Spieltage!$H"&amp;'i2'!EG32)</f>
        <v>0</v>
      </c>
      <c r="EK32" t="str">
        <f t="shared" si="99"/>
        <v>H</v>
      </c>
      <c r="EL32">
        <f t="shared" si="100"/>
        <v>1</v>
      </c>
      <c r="EM32" t="b">
        <f t="shared" ca="1" si="101"/>
        <v>0</v>
      </c>
      <c r="EN32" t="b">
        <f t="shared" ca="1" si="102"/>
        <v>1</v>
      </c>
      <c r="EO32" t="b">
        <f t="shared" ca="1" si="103"/>
        <v>0</v>
      </c>
      <c r="EP32">
        <f t="shared" si="104"/>
        <v>0</v>
      </c>
      <c r="EQ32">
        <f t="shared" si="105"/>
        <v>0</v>
      </c>
      <c r="ER32">
        <f t="shared" si="106"/>
        <v>0</v>
      </c>
      <c r="ES32">
        <f t="shared" ca="1" si="107"/>
        <v>0</v>
      </c>
      <c r="ET32">
        <f t="shared" ca="1" si="108"/>
        <v>0</v>
      </c>
      <c r="EU32">
        <f t="shared" ca="1" si="109"/>
        <v>1</v>
      </c>
      <c r="EV32" t="b">
        <f t="shared" si="110"/>
        <v>0</v>
      </c>
      <c r="EW32" s="6" t="b">
        <f t="shared" si="111"/>
        <v>0</v>
      </c>
      <c r="EX32">
        <f>MATCH(EX$2,Spieltage!$C$423:$C$431,0)+422</f>
        <v>426</v>
      </c>
      <c r="EY32" t="e">
        <f>MATCH(EX$2,Spieltage!$E$423:$E$431,0)+422</f>
        <v>#N/A</v>
      </c>
      <c r="EZ32">
        <f t="shared" si="112"/>
        <v>426</v>
      </c>
      <c r="FA32">
        <f ca="1">INDIRECT("Spieltage!$F"&amp;'i2'!EZ32)</f>
        <v>0</v>
      </c>
      <c r="FB32" s="35" t="s">
        <v>12</v>
      </c>
      <c r="FC32" s="97">
        <f ca="1">INDIRECT("Spieltage!$H"&amp;'i2'!EZ32)</f>
        <v>0</v>
      </c>
      <c r="FD32" t="str">
        <f t="shared" si="113"/>
        <v>H</v>
      </c>
      <c r="FE32">
        <f t="shared" si="114"/>
        <v>1</v>
      </c>
      <c r="FF32" t="b">
        <f t="shared" ca="1" si="115"/>
        <v>0</v>
      </c>
      <c r="FG32" t="b">
        <f t="shared" ca="1" si="116"/>
        <v>1</v>
      </c>
      <c r="FH32" t="b">
        <f t="shared" ca="1" si="117"/>
        <v>0</v>
      </c>
      <c r="FI32">
        <f t="shared" si="118"/>
        <v>0</v>
      </c>
      <c r="FJ32">
        <f t="shared" si="119"/>
        <v>0</v>
      </c>
      <c r="FK32">
        <f t="shared" si="120"/>
        <v>0</v>
      </c>
      <c r="FL32">
        <f t="shared" ca="1" si="121"/>
        <v>0</v>
      </c>
      <c r="FM32">
        <f t="shared" ca="1" si="122"/>
        <v>0</v>
      </c>
      <c r="FN32">
        <f t="shared" ca="1" si="123"/>
        <v>1</v>
      </c>
      <c r="FO32" t="b">
        <f t="shared" si="124"/>
        <v>0</v>
      </c>
      <c r="FP32" s="6" t="b">
        <f t="shared" si="125"/>
        <v>0</v>
      </c>
      <c r="FQ32">
        <f>MATCH(FQ$2,Spieltage!$C$423:$C$431,0)+422</f>
        <v>427</v>
      </c>
      <c r="FR32" t="e">
        <f>MATCH(FQ$2,Spieltage!$E$423:$E$431,0)+422</f>
        <v>#N/A</v>
      </c>
      <c r="FS32">
        <f t="shared" si="126"/>
        <v>427</v>
      </c>
      <c r="FT32">
        <f ca="1">INDIRECT("Spieltage!$F"&amp;'i2'!FS32)</f>
        <v>0</v>
      </c>
      <c r="FU32" s="35" t="s">
        <v>12</v>
      </c>
      <c r="FV32" s="97">
        <f ca="1">INDIRECT("Spieltage!$H"&amp;'i2'!FS32)</f>
        <v>0</v>
      </c>
      <c r="FW32" t="str">
        <f t="shared" si="127"/>
        <v>H</v>
      </c>
      <c r="FX32">
        <f t="shared" si="128"/>
        <v>1</v>
      </c>
      <c r="FY32" t="b">
        <f t="shared" ca="1" si="129"/>
        <v>0</v>
      </c>
      <c r="FZ32" t="b">
        <f t="shared" ca="1" si="130"/>
        <v>1</v>
      </c>
      <c r="GA32" t="b">
        <f t="shared" ca="1" si="131"/>
        <v>0</v>
      </c>
      <c r="GB32">
        <f t="shared" si="132"/>
        <v>0</v>
      </c>
      <c r="GC32">
        <f t="shared" si="133"/>
        <v>0</v>
      </c>
      <c r="GD32">
        <f t="shared" si="134"/>
        <v>0</v>
      </c>
      <c r="GE32">
        <f t="shared" ca="1" si="135"/>
        <v>0</v>
      </c>
      <c r="GF32">
        <f t="shared" ca="1" si="136"/>
        <v>0</v>
      </c>
      <c r="GG32">
        <f t="shared" ca="1" si="137"/>
        <v>1</v>
      </c>
      <c r="GH32" t="b">
        <f t="shared" si="138"/>
        <v>0</v>
      </c>
      <c r="GI32" s="6" t="b">
        <f t="shared" si="139"/>
        <v>0</v>
      </c>
      <c r="GJ32" t="e">
        <f>MATCH(GJ$2,Spieltage!$C$423:$C$431,0)+422</f>
        <v>#N/A</v>
      </c>
      <c r="GK32">
        <f>MATCH(GJ$2,Spieltage!$E$423:$E$431,0)+422</f>
        <v>428</v>
      </c>
      <c r="GL32">
        <f t="shared" si="140"/>
        <v>428</v>
      </c>
      <c r="GM32">
        <f ca="1">INDIRECT("Spieltage!$F"&amp;'i2'!GL32)</f>
        <v>0</v>
      </c>
      <c r="GN32" s="35" t="s">
        <v>12</v>
      </c>
      <c r="GO32" s="97">
        <f ca="1">INDIRECT("Spieltage!$H"&amp;'i2'!GL32)</f>
        <v>0</v>
      </c>
      <c r="GP32" t="str">
        <f t="shared" si="141"/>
        <v>A</v>
      </c>
      <c r="GQ32">
        <f t="shared" si="142"/>
        <v>2</v>
      </c>
      <c r="GR32">
        <f t="shared" si="143"/>
        <v>0</v>
      </c>
      <c r="GS32">
        <f t="shared" si="144"/>
        <v>0</v>
      </c>
      <c r="GT32">
        <f t="shared" si="145"/>
        <v>0</v>
      </c>
      <c r="GU32" t="b">
        <f t="shared" ca="1" si="146"/>
        <v>0</v>
      </c>
      <c r="GV32" t="b">
        <f t="shared" ca="1" si="147"/>
        <v>1</v>
      </c>
      <c r="GW32" t="b">
        <f t="shared" ca="1" si="148"/>
        <v>0</v>
      </c>
      <c r="GX32">
        <f t="shared" ca="1" si="149"/>
        <v>0</v>
      </c>
      <c r="GY32" t="b">
        <f t="shared" si="150"/>
        <v>0</v>
      </c>
      <c r="GZ32" t="b">
        <f t="shared" si="151"/>
        <v>0</v>
      </c>
      <c r="HA32">
        <f t="shared" ca="1" si="152"/>
        <v>0</v>
      </c>
      <c r="HB32" s="6">
        <f t="shared" ca="1" si="153"/>
        <v>1</v>
      </c>
      <c r="HC32" t="e">
        <f>MATCH(HC$2,Spieltage!$C$423:$C$431,0)+422</f>
        <v>#N/A</v>
      </c>
      <c r="HD32">
        <f>MATCH(HC$2,Spieltage!$E$423:$E$431,0)+422</f>
        <v>431</v>
      </c>
      <c r="HE32">
        <f t="shared" si="154"/>
        <v>431</v>
      </c>
      <c r="HF32">
        <f ca="1">INDIRECT("Spieltage!$F"&amp;'i2'!HE32)</f>
        <v>0</v>
      </c>
      <c r="HG32" s="35" t="s">
        <v>12</v>
      </c>
      <c r="HH32" s="97">
        <f ca="1">INDIRECT("Spieltage!$H"&amp;'i2'!HE32)</f>
        <v>0</v>
      </c>
      <c r="HI32" t="str">
        <f t="shared" si="155"/>
        <v>A</v>
      </c>
      <c r="HJ32">
        <f t="shared" si="156"/>
        <v>2</v>
      </c>
      <c r="HK32">
        <f t="shared" si="157"/>
        <v>0</v>
      </c>
      <c r="HL32">
        <f t="shared" si="158"/>
        <v>0</v>
      </c>
      <c r="HM32">
        <f t="shared" si="159"/>
        <v>0</v>
      </c>
      <c r="HN32" t="b">
        <f t="shared" ca="1" si="160"/>
        <v>0</v>
      </c>
      <c r="HO32" t="b">
        <f t="shared" ca="1" si="161"/>
        <v>1</v>
      </c>
      <c r="HP32" t="b">
        <f t="shared" ca="1" si="162"/>
        <v>0</v>
      </c>
      <c r="HQ32">
        <f t="shared" ca="1" si="163"/>
        <v>0</v>
      </c>
      <c r="HR32" t="b">
        <f t="shared" si="164"/>
        <v>0</v>
      </c>
      <c r="HS32" t="b">
        <f t="shared" si="165"/>
        <v>0</v>
      </c>
      <c r="HT32">
        <f t="shared" ca="1" si="166"/>
        <v>0</v>
      </c>
      <c r="HU32" s="6">
        <f t="shared" ca="1" si="167"/>
        <v>1</v>
      </c>
      <c r="HV32" t="e">
        <f>MATCH(HV$2,Spieltage!$C$423:$C$431,0)+422</f>
        <v>#N/A</v>
      </c>
      <c r="HW32">
        <f>MATCH(HV$2,Spieltage!$E$423:$E$431,0)+422</f>
        <v>429</v>
      </c>
      <c r="HX32">
        <f t="shared" si="168"/>
        <v>429</v>
      </c>
      <c r="HY32">
        <f ca="1">INDIRECT("Spieltage!$F"&amp;'i2'!HX32)</f>
        <v>0</v>
      </c>
      <c r="HZ32" s="35" t="s">
        <v>12</v>
      </c>
      <c r="IA32" s="97">
        <f ca="1">INDIRECT("Spieltage!$H"&amp;'i2'!HX32)</f>
        <v>0</v>
      </c>
      <c r="IB32" t="str">
        <f t="shared" si="169"/>
        <v>A</v>
      </c>
      <c r="IC32">
        <f t="shared" si="170"/>
        <v>2</v>
      </c>
      <c r="ID32">
        <f t="shared" si="171"/>
        <v>0</v>
      </c>
      <c r="IE32">
        <f t="shared" si="172"/>
        <v>0</v>
      </c>
      <c r="IF32">
        <f t="shared" si="173"/>
        <v>0</v>
      </c>
      <c r="IG32" t="b">
        <f t="shared" ca="1" si="174"/>
        <v>0</v>
      </c>
      <c r="IH32" t="b">
        <f t="shared" ca="1" si="175"/>
        <v>1</v>
      </c>
      <c r="II32" t="b">
        <f t="shared" ca="1" si="176"/>
        <v>0</v>
      </c>
      <c r="IJ32">
        <f t="shared" ca="1" si="177"/>
        <v>0</v>
      </c>
      <c r="IK32" t="b">
        <f t="shared" si="178"/>
        <v>0</v>
      </c>
      <c r="IL32" t="b">
        <f t="shared" si="179"/>
        <v>0</v>
      </c>
      <c r="IM32">
        <f t="shared" ca="1" si="180"/>
        <v>0</v>
      </c>
      <c r="IN32" s="6">
        <f t="shared" ca="1" si="181"/>
        <v>1</v>
      </c>
      <c r="IO32">
        <f>MATCH(IO$2,Spieltage!$C$423:$C$431,0)+422</f>
        <v>431</v>
      </c>
      <c r="IP32" t="e">
        <f>MATCH(IO$2,Spieltage!$E$423:$E$431,0)+422</f>
        <v>#N/A</v>
      </c>
      <c r="IQ32">
        <f t="shared" si="182"/>
        <v>431</v>
      </c>
      <c r="IR32">
        <f ca="1">INDIRECT("Spieltage!$F"&amp;'i2'!IQ32)</f>
        <v>0</v>
      </c>
      <c r="IS32" s="35" t="s">
        <v>12</v>
      </c>
      <c r="IT32" s="97">
        <f ca="1">INDIRECT("Spieltage!$H"&amp;'i2'!IQ32)</f>
        <v>0</v>
      </c>
      <c r="IU32" t="str">
        <f t="shared" si="183"/>
        <v>H</v>
      </c>
      <c r="IV32">
        <f t="shared" si="184"/>
        <v>1</v>
      </c>
      <c r="IW32" t="b">
        <f t="shared" ca="1" si="185"/>
        <v>0</v>
      </c>
      <c r="IX32" t="b">
        <f t="shared" ca="1" si="186"/>
        <v>1</v>
      </c>
      <c r="IY32" t="b">
        <f t="shared" ca="1" si="187"/>
        <v>0</v>
      </c>
      <c r="IZ32">
        <f t="shared" si="188"/>
        <v>0</v>
      </c>
      <c r="JA32">
        <f t="shared" si="189"/>
        <v>0</v>
      </c>
      <c r="JB32">
        <f t="shared" si="190"/>
        <v>0</v>
      </c>
      <c r="JC32">
        <f t="shared" ca="1" si="191"/>
        <v>0</v>
      </c>
      <c r="JD32">
        <f t="shared" ca="1" si="192"/>
        <v>0</v>
      </c>
      <c r="JE32">
        <f t="shared" ca="1" si="193"/>
        <v>1</v>
      </c>
      <c r="JF32" t="b">
        <f t="shared" si="194"/>
        <v>0</v>
      </c>
      <c r="JG32" s="6" t="b">
        <f t="shared" si="195"/>
        <v>0</v>
      </c>
      <c r="JH32">
        <f>MATCH(JH$2,Spieltage!$C$423:$C$431,0)+422</f>
        <v>423</v>
      </c>
      <c r="JI32" t="e">
        <f>MATCH(JH$2,Spieltage!$E$423:$E$431,0)+422</f>
        <v>#N/A</v>
      </c>
      <c r="JJ32">
        <f t="shared" si="196"/>
        <v>423</v>
      </c>
      <c r="JK32">
        <f ca="1">INDIRECT("Spieltage!$F"&amp;'i2'!JJ32)</f>
        <v>0</v>
      </c>
      <c r="JL32" s="35" t="s">
        <v>12</v>
      </c>
      <c r="JM32" s="97">
        <f ca="1">INDIRECT("Spieltage!$H"&amp;'i2'!JJ32)</f>
        <v>0</v>
      </c>
      <c r="JN32" t="str">
        <f t="shared" si="197"/>
        <v>H</v>
      </c>
      <c r="JO32">
        <f t="shared" si="198"/>
        <v>1</v>
      </c>
      <c r="JP32" t="b">
        <f t="shared" ca="1" si="199"/>
        <v>0</v>
      </c>
      <c r="JQ32" t="b">
        <f t="shared" ca="1" si="200"/>
        <v>1</v>
      </c>
      <c r="JR32" t="b">
        <f t="shared" ca="1" si="201"/>
        <v>0</v>
      </c>
      <c r="JS32">
        <f t="shared" si="202"/>
        <v>0</v>
      </c>
      <c r="JT32">
        <f t="shared" si="203"/>
        <v>0</v>
      </c>
      <c r="JU32">
        <f t="shared" si="204"/>
        <v>0</v>
      </c>
      <c r="JV32">
        <f t="shared" ca="1" si="205"/>
        <v>0</v>
      </c>
      <c r="JW32">
        <f t="shared" ca="1" si="206"/>
        <v>0</v>
      </c>
      <c r="JX32">
        <f t="shared" ca="1" si="207"/>
        <v>1</v>
      </c>
      <c r="JY32" t="b">
        <f t="shared" si="208"/>
        <v>0</v>
      </c>
      <c r="JZ32" s="6" t="b">
        <f t="shared" si="209"/>
        <v>0</v>
      </c>
      <c r="KA32">
        <f>MATCH(KA$2,Spieltage!$C$423:$C$431,0)+422</f>
        <v>424</v>
      </c>
      <c r="KB32" t="e">
        <f>MATCH(KA$2,Spieltage!$E$423:$E$431,0)+422</f>
        <v>#N/A</v>
      </c>
      <c r="KC32">
        <f t="shared" si="210"/>
        <v>424</v>
      </c>
      <c r="KD32">
        <f ca="1">INDIRECT("Spieltage!$F"&amp;'i2'!KC32)</f>
        <v>0</v>
      </c>
      <c r="KE32" s="35" t="s">
        <v>12</v>
      </c>
      <c r="KF32" s="97">
        <f ca="1">INDIRECT("Spieltage!$H"&amp;'i2'!KC32)</f>
        <v>0</v>
      </c>
      <c r="KG32" t="str">
        <f t="shared" si="211"/>
        <v>H</v>
      </c>
      <c r="KH32">
        <f t="shared" si="212"/>
        <v>1</v>
      </c>
      <c r="KI32" t="b">
        <f t="shared" ca="1" si="213"/>
        <v>0</v>
      </c>
      <c r="KJ32" t="b">
        <f t="shared" ca="1" si="214"/>
        <v>1</v>
      </c>
      <c r="KK32" t="b">
        <f t="shared" ca="1" si="215"/>
        <v>0</v>
      </c>
      <c r="KL32">
        <f t="shared" si="216"/>
        <v>0</v>
      </c>
      <c r="KM32">
        <f t="shared" si="217"/>
        <v>0</v>
      </c>
      <c r="KN32">
        <f t="shared" si="218"/>
        <v>0</v>
      </c>
      <c r="KO32">
        <f t="shared" ca="1" si="219"/>
        <v>0</v>
      </c>
      <c r="KP32">
        <f t="shared" ca="1" si="220"/>
        <v>0</v>
      </c>
      <c r="KQ32">
        <f t="shared" ca="1" si="221"/>
        <v>1</v>
      </c>
      <c r="KR32" t="b">
        <f t="shared" si="222"/>
        <v>0</v>
      </c>
      <c r="KS32" s="6" t="b">
        <f t="shared" si="223"/>
        <v>0</v>
      </c>
      <c r="KT32">
        <f>MATCH(KT$2,Spieltage!$C$423:$C$431,0)+422</f>
        <v>429</v>
      </c>
      <c r="KU32" t="e">
        <f>MATCH(KT$2,Spieltage!$E$423:$E$431,0)+422</f>
        <v>#N/A</v>
      </c>
      <c r="KV32">
        <f t="shared" si="224"/>
        <v>429</v>
      </c>
      <c r="KW32">
        <f ca="1">INDIRECT("Spieltage!$F"&amp;'i2'!KV32)</f>
        <v>0</v>
      </c>
      <c r="KX32" s="35" t="s">
        <v>12</v>
      </c>
      <c r="KY32" s="97">
        <f ca="1">INDIRECT("Spieltage!$H"&amp;'i2'!KV32)</f>
        <v>0</v>
      </c>
      <c r="KZ32" t="str">
        <f t="shared" si="225"/>
        <v>H</v>
      </c>
      <c r="LA32">
        <f t="shared" si="226"/>
        <v>1</v>
      </c>
      <c r="LB32" t="b">
        <f t="shared" ca="1" si="227"/>
        <v>0</v>
      </c>
      <c r="LC32" t="b">
        <f t="shared" ca="1" si="228"/>
        <v>1</v>
      </c>
      <c r="LD32" t="b">
        <f t="shared" ca="1" si="229"/>
        <v>0</v>
      </c>
      <c r="LE32">
        <f t="shared" si="230"/>
        <v>0</v>
      </c>
      <c r="LF32">
        <f t="shared" si="231"/>
        <v>0</v>
      </c>
      <c r="LG32">
        <f t="shared" si="232"/>
        <v>0</v>
      </c>
      <c r="LH32">
        <f t="shared" ca="1" si="233"/>
        <v>0</v>
      </c>
      <c r="LI32">
        <f t="shared" ca="1" si="234"/>
        <v>0</v>
      </c>
      <c r="LJ32">
        <f t="shared" ca="1" si="235"/>
        <v>1</v>
      </c>
      <c r="LK32" t="b">
        <f t="shared" si="236"/>
        <v>0</v>
      </c>
      <c r="LL32" s="6" t="b">
        <f t="shared" si="237"/>
        <v>0</v>
      </c>
      <c r="LM32">
        <f>MATCH(LM$2,Spieltage!$C$423:$C$431,0)+422</f>
        <v>425</v>
      </c>
      <c r="LN32" t="e">
        <f>MATCH(LM$2,Spieltage!$E$423:$E$431,0)+422</f>
        <v>#N/A</v>
      </c>
      <c r="LO32">
        <f t="shared" si="238"/>
        <v>425</v>
      </c>
      <c r="LP32">
        <f ca="1">INDIRECT("Spieltage!$F"&amp;'i2'!LO32)</f>
        <v>0</v>
      </c>
      <c r="LQ32" s="35" t="s">
        <v>12</v>
      </c>
      <c r="LR32" s="97">
        <f ca="1">INDIRECT("Spieltage!$H"&amp;'i2'!LO32)</f>
        <v>0</v>
      </c>
      <c r="LS32" t="str">
        <f t="shared" si="239"/>
        <v>H</v>
      </c>
      <c r="LT32">
        <f t="shared" si="240"/>
        <v>1</v>
      </c>
      <c r="LU32" t="b">
        <f t="shared" ca="1" si="241"/>
        <v>0</v>
      </c>
      <c r="LV32" t="b">
        <f t="shared" ca="1" si="242"/>
        <v>1</v>
      </c>
      <c r="LW32" t="b">
        <f t="shared" ca="1" si="243"/>
        <v>0</v>
      </c>
      <c r="LX32">
        <f t="shared" si="244"/>
        <v>0</v>
      </c>
      <c r="LY32">
        <f t="shared" si="245"/>
        <v>0</v>
      </c>
      <c r="LZ32">
        <f t="shared" si="246"/>
        <v>0</v>
      </c>
      <c r="MA32">
        <f t="shared" ca="1" si="247"/>
        <v>0</v>
      </c>
      <c r="MB32">
        <f t="shared" ca="1" si="248"/>
        <v>0</v>
      </c>
      <c r="MC32">
        <f t="shared" ca="1" si="249"/>
        <v>1</v>
      </c>
      <c r="MD32" t="b">
        <f t="shared" si="250"/>
        <v>0</v>
      </c>
      <c r="ME32" s="6" t="b">
        <f t="shared" si="251"/>
        <v>0</v>
      </c>
    </row>
    <row r="33" spans="1:343" x14ac:dyDescent="0.2">
      <c r="A33" s="104" t="s">
        <v>241</v>
      </c>
      <c r="B33">
        <f>MATCH(B$2,Spieltage!$C$438:$C$446,0)+437</f>
        <v>441</v>
      </c>
      <c r="C33" t="e">
        <f>MATCH(B$2,Spieltage!$E$438:$E$446,0)+437</f>
        <v>#N/A</v>
      </c>
      <c r="D33">
        <f t="shared" si="0"/>
        <v>441</v>
      </c>
      <c r="E33">
        <f ca="1">INDIRECT("Spieltage!$F"&amp;'i2'!D33)</f>
        <v>0</v>
      </c>
      <c r="F33" s="35" t="s">
        <v>12</v>
      </c>
      <c r="G33" s="97">
        <f ca="1">INDIRECT("Spieltage!$H"&amp;'i2'!D33)</f>
        <v>0</v>
      </c>
      <c r="H33" t="str">
        <f t="shared" si="1"/>
        <v>H</v>
      </c>
      <c r="I33">
        <f t="shared" si="2"/>
        <v>1</v>
      </c>
      <c r="J33" t="b">
        <f t="shared" ca="1" si="3"/>
        <v>0</v>
      </c>
      <c r="K33" t="b">
        <f t="shared" ca="1" si="4"/>
        <v>1</v>
      </c>
      <c r="L33" t="b">
        <f t="shared" ca="1" si="5"/>
        <v>0</v>
      </c>
      <c r="M33">
        <f t="shared" si="6"/>
        <v>0</v>
      </c>
      <c r="N33">
        <f t="shared" si="7"/>
        <v>0</v>
      </c>
      <c r="O33">
        <f t="shared" si="8"/>
        <v>0</v>
      </c>
      <c r="P33">
        <f t="shared" ca="1" si="9"/>
        <v>0</v>
      </c>
      <c r="Q33">
        <f t="shared" ca="1" si="10"/>
        <v>0</v>
      </c>
      <c r="R33">
        <f t="shared" ca="1" si="11"/>
        <v>1</v>
      </c>
      <c r="S33" t="b">
        <f t="shared" si="12"/>
        <v>0</v>
      </c>
      <c r="T33" s="6" t="b">
        <f t="shared" si="13"/>
        <v>0</v>
      </c>
      <c r="U33" t="e">
        <f>MATCH(U$2,Spieltage!$C$438:$C$446,0)+437</f>
        <v>#N/A</v>
      </c>
      <c r="V33">
        <f>MATCH(U$2,Spieltage!$E$438:$E$446,0)+437</f>
        <v>440</v>
      </c>
      <c r="W33">
        <f t="shared" si="14"/>
        <v>440</v>
      </c>
      <c r="X33">
        <f ca="1">INDIRECT("Spieltage!$F"&amp;'i2'!W33)</f>
        <v>0</v>
      </c>
      <c r="Y33" s="35" t="s">
        <v>12</v>
      </c>
      <c r="Z33" s="97">
        <f ca="1">INDIRECT("Spieltage!$H"&amp;'i2'!W33)</f>
        <v>0</v>
      </c>
      <c r="AA33" t="str">
        <f t="shared" si="15"/>
        <v>A</v>
      </c>
      <c r="AB33">
        <f t="shared" si="16"/>
        <v>2</v>
      </c>
      <c r="AC33">
        <f t="shared" si="17"/>
        <v>0</v>
      </c>
      <c r="AD33">
        <f t="shared" si="18"/>
        <v>0</v>
      </c>
      <c r="AE33">
        <f t="shared" si="19"/>
        <v>0</v>
      </c>
      <c r="AF33" t="b">
        <f t="shared" ca="1" si="20"/>
        <v>0</v>
      </c>
      <c r="AG33" t="b">
        <f t="shared" ca="1" si="21"/>
        <v>1</v>
      </c>
      <c r="AH33" t="b">
        <f t="shared" ca="1" si="22"/>
        <v>0</v>
      </c>
      <c r="AI33">
        <f t="shared" ca="1" si="23"/>
        <v>0</v>
      </c>
      <c r="AJ33" t="b">
        <f t="shared" si="24"/>
        <v>0</v>
      </c>
      <c r="AK33" t="b">
        <f t="shared" si="25"/>
        <v>0</v>
      </c>
      <c r="AL33">
        <f t="shared" ca="1" si="26"/>
        <v>0</v>
      </c>
      <c r="AM33" s="6">
        <f t="shared" ca="1" si="27"/>
        <v>1</v>
      </c>
      <c r="AN33">
        <f>MATCH(AN$2,Spieltage!$C$438:$C$446,0)+437</f>
        <v>443</v>
      </c>
      <c r="AO33" t="e">
        <f>MATCH(AN$2,Spieltage!$E$438:$E$446,0)+437</f>
        <v>#N/A</v>
      </c>
      <c r="AP33">
        <f t="shared" si="28"/>
        <v>443</v>
      </c>
      <c r="AQ33">
        <f ca="1">INDIRECT("Spieltage!$F"&amp;'i2'!AP33)</f>
        <v>0</v>
      </c>
      <c r="AR33" s="35" t="s">
        <v>12</v>
      </c>
      <c r="AS33" s="97">
        <f ca="1">INDIRECT("Spieltage!$H"&amp;'i2'!AP33)</f>
        <v>0</v>
      </c>
      <c r="AT33" t="str">
        <f t="shared" si="29"/>
        <v>H</v>
      </c>
      <c r="AU33">
        <f t="shared" si="30"/>
        <v>1</v>
      </c>
      <c r="AV33" t="b">
        <f t="shared" ca="1" si="31"/>
        <v>0</v>
      </c>
      <c r="AW33" t="b">
        <f t="shared" ca="1" si="32"/>
        <v>1</v>
      </c>
      <c r="AX33" t="b">
        <f t="shared" ca="1" si="33"/>
        <v>0</v>
      </c>
      <c r="AY33">
        <f t="shared" si="34"/>
        <v>0</v>
      </c>
      <c r="AZ33">
        <f t="shared" si="35"/>
        <v>0</v>
      </c>
      <c r="BA33">
        <f t="shared" si="36"/>
        <v>0</v>
      </c>
      <c r="BB33">
        <f t="shared" ca="1" si="37"/>
        <v>0</v>
      </c>
      <c r="BC33">
        <f t="shared" ca="1" si="38"/>
        <v>0</v>
      </c>
      <c r="BD33">
        <f t="shared" ca="1" si="39"/>
        <v>1</v>
      </c>
      <c r="BE33" t="b">
        <f t="shared" si="40"/>
        <v>0</v>
      </c>
      <c r="BF33" s="6" t="b">
        <f t="shared" si="41"/>
        <v>0</v>
      </c>
      <c r="BG33">
        <f>MATCH(BG$2,Spieltage!$C$438:$C$446,0)+437</f>
        <v>438</v>
      </c>
      <c r="BH33" t="e">
        <f>MATCH(BG$2,Spieltage!$E$438:$E$446,0)+437</f>
        <v>#N/A</v>
      </c>
      <c r="BI33">
        <f t="shared" si="42"/>
        <v>438</v>
      </c>
      <c r="BJ33">
        <f ca="1">INDIRECT("Spieltage!$F"&amp;'i2'!BI33)</f>
        <v>0</v>
      </c>
      <c r="BK33" s="35" t="s">
        <v>12</v>
      </c>
      <c r="BL33" s="97">
        <f ca="1">INDIRECT("Spieltage!$H"&amp;'i2'!BI33)</f>
        <v>0</v>
      </c>
      <c r="BM33" t="str">
        <f t="shared" si="43"/>
        <v>H</v>
      </c>
      <c r="BN33">
        <f t="shared" si="44"/>
        <v>1</v>
      </c>
      <c r="BO33" t="b">
        <f t="shared" ca="1" si="45"/>
        <v>0</v>
      </c>
      <c r="BP33" t="b">
        <f t="shared" ca="1" si="46"/>
        <v>1</v>
      </c>
      <c r="BQ33" t="b">
        <f t="shared" ca="1" si="47"/>
        <v>0</v>
      </c>
      <c r="BR33">
        <f t="shared" si="48"/>
        <v>0</v>
      </c>
      <c r="BS33">
        <f t="shared" si="49"/>
        <v>0</v>
      </c>
      <c r="BT33">
        <f t="shared" si="50"/>
        <v>0</v>
      </c>
      <c r="BU33">
        <f t="shared" ca="1" si="51"/>
        <v>0</v>
      </c>
      <c r="BV33">
        <f t="shared" ca="1" si="52"/>
        <v>0</v>
      </c>
      <c r="BW33">
        <f t="shared" ca="1" si="53"/>
        <v>1</v>
      </c>
      <c r="BX33" t="b">
        <f t="shared" si="54"/>
        <v>0</v>
      </c>
      <c r="BY33" s="6" t="b">
        <f t="shared" si="55"/>
        <v>0</v>
      </c>
      <c r="BZ33">
        <f>MATCH(BZ$2,Spieltage!$C$438:$C$446,0)+437</f>
        <v>440</v>
      </c>
      <c r="CA33" t="e">
        <f>MATCH(BZ$2,Spieltage!$E$438:$E$446,0)+437</f>
        <v>#N/A</v>
      </c>
      <c r="CB33">
        <f t="shared" si="56"/>
        <v>440</v>
      </c>
      <c r="CC33">
        <f ca="1">INDIRECT("Spieltage!$F"&amp;'i2'!CB33)</f>
        <v>0</v>
      </c>
      <c r="CD33" s="35" t="s">
        <v>12</v>
      </c>
      <c r="CE33" s="97">
        <f ca="1">INDIRECT("Spieltage!$H"&amp;'i2'!CB33)</f>
        <v>0</v>
      </c>
      <c r="CF33" t="str">
        <f t="shared" si="57"/>
        <v>H</v>
      </c>
      <c r="CG33">
        <f t="shared" si="58"/>
        <v>1</v>
      </c>
      <c r="CH33" t="b">
        <f t="shared" ca="1" si="59"/>
        <v>0</v>
      </c>
      <c r="CI33" t="b">
        <f t="shared" ca="1" si="60"/>
        <v>1</v>
      </c>
      <c r="CJ33" t="b">
        <f t="shared" ca="1" si="61"/>
        <v>0</v>
      </c>
      <c r="CK33">
        <f t="shared" si="62"/>
        <v>0</v>
      </c>
      <c r="CL33">
        <f t="shared" si="63"/>
        <v>0</v>
      </c>
      <c r="CM33">
        <f t="shared" si="64"/>
        <v>0</v>
      </c>
      <c r="CN33">
        <f t="shared" ca="1" si="65"/>
        <v>0</v>
      </c>
      <c r="CO33">
        <f t="shared" ca="1" si="66"/>
        <v>0</v>
      </c>
      <c r="CP33">
        <f t="shared" ca="1" si="67"/>
        <v>1</v>
      </c>
      <c r="CQ33" t="b">
        <f t="shared" si="68"/>
        <v>0</v>
      </c>
      <c r="CR33" s="6" t="b">
        <f t="shared" si="69"/>
        <v>0</v>
      </c>
      <c r="CS33">
        <f>MATCH(CS$2,Spieltage!$C$438:$C$446,0)+437</f>
        <v>446</v>
      </c>
      <c r="CT33" t="e">
        <f>MATCH(CS$2,Spieltage!$E$438:$E$446,0)+437</f>
        <v>#N/A</v>
      </c>
      <c r="CU33">
        <f t="shared" si="70"/>
        <v>446</v>
      </c>
      <c r="CV33">
        <f ca="1">INDIRECT("Spieltage!$F"&amp;'i2'!CU33)</f>
        <v>0</v>
      </c>
      <c r="CW33" s="35" t="s">
        <v>12</v>
      </c>
      <c r="CX33" s="97">
        <f ca="1">INDIRECT("Spieltage!$H"&amp;'i2'!CU33)</f>
        <v>0</v>
      </c>
      <c r="CY33" t="str">
        <f t="shared" si="71"/>
        <v>H</v>
      </c>
      <c r="CZ33">
        <f t="shared" si="72"/>
        <v>1</v>
      </c>
      <c r="DA33" t="b">
        <f t="shared" ca="1" si="73"/>
        <v>0</v>
      </c>
      <c r="DB33" t="b">
        <f t="shared" ca="1" si="74"/>
        <v>1</v>
      </c>
      <c r="DC33" t="b">
        <f t="shared" ca="1" si="75"/>
        <v>0</v>
      </c>
      <c r="DD33">
        <f t="shared" si="76"/>
        <v>0</v>
      </c>
      <c r="DE33">
        <f t="shared" si="77"/>
        <v>0</v>
      </c>
      <c r="DF33">
        <f t="shared" si="78"/>
        <v>0</v>
      </c>
      <c r="DG33">
        <f t="shared" ca="1" si="79"/>
        <v>0</v>
      </c>
      <c r="DH33">
        <f t="shared" ca="1" si="80"/>
        <v>0</v>
      </c>
      <c r="DI33">
        <f t="shared" ca="1" si="81"/>
        <v>1</v>
      </c>
      <c r="DJ33" t="b">
        <f t="shared" si="82"/>
        <v>0</v>
      </c>
      <c r="DK33" s="6" t="b">
        <f t="shared" si="83"/>
        <v>0</v>
      </c>
      <c r="DL33">
        <f>MATCH(DL$2,Spieltage!$C$438:$C$446,0)+437</f>
        <v>444</v>
      </c>
      <c r="DM33" t="e">
        <f>MATCH(DL$2,Spieltage!$E$438:$E$446,0)+437</f>
        <v>#N/A</v>
      </c>
      <c r="DN33">
        <f t="shared" si="84"/>
        <v>444</v>
      </c>
      <c r="DO33">
        <f ca="1">INDIRECT("Spieltage!$F"&amp;'i2'!DN33)</f>
        <v>0</v>
      </c>
      <c r="DP33" s="35" t="s">
        <v>12</v>
      </c>
      <c r="DQ33" s="97">
        <f ca="1">INDIRECT("Spieltage!$H"&amp;'i2'!DN33)</f>
        <v>0</v>
      </c>
      <c r="DR33" t="str">
        <f t="shared" si="85"/>
        <v>H</v>
      </c>
      <c r="DS33">
        <f t="shared" si="86"/>
        <v>1</v>
      </c>
      <c r="DT33" t="b">
        <f t="shared" ca="1" si="87"/>
        <v>0</v>
      </c>
      <c r="DU33" t="b">
        <f t="shared" ca="1" si="88"/>
        <v>1</v>
      </c>
      <c r="DV33" t="b">
        <f t="shared" ca="1" si="89"/>
        <v>0</v>
      </c>
      <c r="DW33">
        <f t="shared" si="90"/>
        <v>0</v>
      </c>
      <c r="DX33">
        <f t="shared" si="91"/>
        <v>0</v>
      </c>
      <c r="DY33">
        <f t="shared" si="92"/>
        <v>0</v>
      </c>
      <c r="DZ33">
        <f t="shared" ca="1" si="93"/>
        <v>0</v>
      </c>
      <c r="EA33">
        <f t="shared" ca="1" si="94"/>
        <v>0</v>
      </c>
      <c r="EB33">
        <f t="shared" ca="1" si="95"/>
        <v>1</v>
      </c>
      <c r="EC33" t="b">
        <f t="shared" si="96"/>
        <v>0</v>
      </c>
      <c r="ED33" s="6" t="b">
        <f t="shared" si="97"/>
        <v>0</v>
      </c>
      <c r="EE33" t="e">
        <f>MATCH(EE$2,Spieltage!$C$438:$C$446,0)+437</f>
        <v>#N/A</v>
      </c>
      <c r="EF33">
        <f>MATCH(EE$2,Spieltage!$E$438:$E$446,0)+437</f>
        <v>443</v>
      </c>
      <c r="EG33">
        <f t="shared" si="98"/>
        <v>443</v>
      </c>
      <c r="EH33">
        <f ca="1">INDIRECT("Spieltage!$F"&amp;'i2'!EG33)</f>
        <v>0</v>
      </c>
      <c r="EI33" s="35" t="s">
        <v>12</v>
      </c>
      <c r="EJ33" s="97">
        <f ca="1">INDIRECT("Spieltage!$H"&amp;'i2'!EG33)</f>
        <v>0</v>
      </c>
      <c r="EK33" t="str">
        <f t="shared" si="99"/>
        <v>A</v>
      </c>
      <c r="EL33">
        <f t="shared" si="100"/>
        <v>2</v>
      </c>
      <c r="EM33">
        <f t="shared" si="101"/>
        <v>0</v>
      </c>
      <c r="EN33">
        <f t="shared" si="102"/>
        <v>0</v>
      </c>
      <c r="EO33">
        <f t="shared" si="103"/>
        <v>0</v>
      </c>
      <c r="EP33" t="b">
        <f t="shared" ca="1" si="104"/>
        <v>0</v>
      </c>
      <c r="EQ33" t="b">
        <f t="shared" ca="1" si="105"/>
        <v>1</v>
      </c>
      <c r="ER33" t="b">
        <f t="shared" ca="1" si="106"/>
        <v>0</v>
      </c>
      <c r="ES33">
        <f t="shared" ca="1" si="107"/>
        <v>0</v>
      </c>
      <c r="ET33" t="b">
        <f t="shared" si="108"/>
        <v>0</v>
      </c>
      <c r="EU33" t="b">
        <f t="shared" si="109"/>
        <v>0</v>
      </c>
      <c r="EV33">
        <f t="shared" ca="1" si="110"/>
        <v>0</v>
      </c>
      <c r="EW33" s="6">
        <f t="shared" ca="1" si="111"/>
        <v>1</v>
      </c>
      <c r="EX33" t="e">
        <f>MATCH(EX$2,Spieltage!$C$438:$C$446,0)+437</f>
        <v>#N/A</v>
      </c>
      <c r="EY33">
        <f>MATCH(EX$2,Spieltage!$E$438:$E$446,0)+437</f>
        <v>439</v>
      </c>
      <c r="EZ33">
        <f t="shared" si="112"/>
        <v>439</v>
      </c>
      <c r="FA33">
        <f ca="1">INDIRECT("Spieltage!$F"&amp;'i2'!EZ33)</f>
        <v>0</v>
      </c>
      <c r="FB33" s="35" t="s">
        <v>12</v>
      </c>
      <c r="FC33" s="97">
        <f ca="1">INDIRECT("Spieltage!$H"&amp;'i2'!EZ33)</f>
        <v>0</v>
      </c>
      <c r="FD33" t="str">
        <f t="shared" si="113"/>
        <v>A</v>
      </c>
      <c r="FE33">
        <f t="shared" si="114"/>
        <v>2</v>
      </c>
      <c r="FF33">
        <f t="shared" si="115"/>
        <v>0</v>
      </c>
      <c r="FG33">
        <f t="shared" si="116"/>
        <v>0</v>
      </c>
      <c r="FH33">
        <f t="shared" si="117"/>
        <v>0</v>
      </c>
      <c r="FI33" t="b">
        <f t="shared" ca="1" si="118"/>
        <v>0</v>
      </c>
      <c r="FJ33" t="b">
        <f t="shared" ca="1" si="119"/>
        <v>1</v>
      </c>
      <c r="FK33" t="b">
        <f t="shared" ca="1" si="120"/>
        <v>0</v>
      </c>
      <c r="FL33">
        <f t="shared" ca="1" si="121"/>
        <v>0</v>
      </c>
      <c r="FM33" t="b">
        <f t="shared" si="122"/>
        <v>0</v>
      </c>
      <c r="FN33" t="b">
        <f t="shared" si="123"/>
        <v>0</v>
      </c>
      <c r="FO33">
        <f t="shared" ca="1" si="124"/>
        <v>0</v>
      </c>
      <c r="FP33" s="6">
        <f t="shared" ca="1" si="125"/>
        <v>1</v>
      </c>
      <c r="FQ33" t="e">
        <f>MATCH(FQ$2,Spieltage!$C$438:$C$446,0)+437</f>
        <v>#N/A</v>
      </c>
      <c r="FR33">
        <f>MATCH(FQ$2,Spieltage!$E$438:$E$446,0)+437</f>
        <v>445</v>
      </c>
      <c r="FS33">
        <f t="shared" si="126"/>
        <v>445</v>
      </c>
      <c r="FT33">
        <f ca="1">INDIRECT("Spieltage!$F"&amp;'i2'!FS33)</f>
        <v>0</v>
      </c>
      <c r="FU33" s="35" t="s">
        <v>12</v>
      </c>
      <c r="FV33" s="97">
        <f ca="1">INDIRECT("Spieltage!$H"&amp;'i2'!FS33)</f>
        <v>0</v>
      </c>
      <c r="FW33" t="str">
        <f t="shared" si="127"/>
        <v>A</v>
      </c>
      <c r="FX33">
        <f t="shared" si="128"/>
        <v>2</v>
      </c>
      <c r="FY33">
        <f t="shared" si="129"/>
        <v>0</v>
      </c>
      <c r="FZ33">
        <f t="shared" si="130"/>
        <v>0</v>
      </c>
      <c r="GA33">
        <f t="shared" si="131"/>
        <v>0</v>
      </c>
      <c r="GB33" t="b">
        <f t="shared" ca="1" si="132"/>
        <v>0</v>
      </c>
      <c r="GC33" t="b">
        <f t="shared" ca="1" si="133"/>
        <v>1</v>
      </c>
      <c r="GD33" t="b">
        <f t="shared" ca="1" si="134"/>
        <v>0</v>
      </c>
      <c r="GE33">
        <f t="shared" ca="1" si="135"/>
        <v>0</v>
      </c>
      <c r="GF33" t="b">
        <f t="shared" si="136"/>
        <v>0</v>
      </c>
      <c r="GG33" t="b">
        <f t="shared" si="137"/>
        <v>0</v>
      </c>
      <c r="GH33">
        <f t="shared" ca="1" si="138"/>
        <v>0</v>
      </c>
      <c r="GI33" s="6">
        <f t="shared" ca="1" si="139"/>
        <v>1</v>
      </c>
      <c r="GJ33">
        <f>MATCH(GJ$2,Spieltage!$C$438:$C$446,0)+437</f>
        <v>439</v>
      </c>
      <c r="GK33" t="e">
        <f>MATCH(GJ$2,Spieltage!$E$438:$E$446,0)+437</f>
        <v>#N/A</v>
      </c>
      <c r="GL33">
        <f t="shared" si="140"/>
        <v>439</v>
      </c>
      <c r="GM33">
        <f ca="1">INDIRECT("Spieltage!$F"&amp;'i2'!GL33)</f>
        <v>0</v>
      </c>
      <c r="GN33" s="35" t="s">
        <v>12</v>
      </c>
      <c r="GO33" s="97">
        <f ca="1">INDIRECT("Spieltage!$H"&amp;'i2'!GL33)</f>
        <v>0</v>
      </c>
      <c r="GP33" t="str">
        <f t="shared" si="141"/>
        <v>H</v>
      </c>
      <c r="GQ33">
        <f t="shared" si="142"/>
        <v>1</v>
      </c>
      <c r="GR33" t="b">
        <f t="shared" ca="1" si="143"/>
        <v>0</v>
      </c>
      <c r="GS33" t="b">
        <f t="shared" ca="1" si="144"/>
        <v>1</v>
      </c>
      <c r="GT33" t="b">
        <f t="shared" ca="1" si="145"/>
        <v>0</v>
      </c>
      <c r="GU33">
        <f t="shared" si="146"/>
        <v>0</v>
      </c>
      <c r="GV33">
        <f t="shared" si="147"/>
        <v>0</v>
      </c>
      <c r="GW33">
        <f t="shared" si="148"/>
        <v>0</v>
      </c>
      <c r="GX33">
        <f t="shared" ca="1" si="149"/>
        <v>0</v>
      </c>
      <c r="GY33">
        <f t="shared" ca="1" si="150"/>
        <v>0</v>
      </c>
      <c r="GZ33">
        <f t="shared" ca="1" si="151"/>
        <v>1</v>
      </c>
      <c r="HA33" t="b">
        <f t="shared" si="152"/>
        <v>0</v>
      </c>
      <c r="HB33" s="6" t="b">
        <f t="shared" si="153"/>
        <v>0</v>
      </c>
      <c r="HC33" t="e">
        <f>MATCH(HC$2,Spieltage!$C$438:$C$446,0)+437</f>
        <v>#N/A</v>
      </c>
      <c r="HD33">
        <f>MATCH(HC$2,Spieltage!$E$438:$E$446,0)+437</f>
        <v>446</v>
      </c>
      <c r="HE33">
        <f t="shared" si="154"/>
        <v>446</v>
      </c>
      <c r="HF33">
        <f ca="1">INDIRECT("Spieltage!$F"&amp;'i2'!HE33)</f>
        <v>0</v>
      </c>
      <c r="HG33" s="35" t="s">
        <v>12</v>
      </c>
      <c r="HH33" s="97">
        <f ca="1">INDIRECT("Spieltage!$H"&amp;'i2'!HE33)</f>
        <v>0</v>
      </c>
      <c r="HI33" t="str">
        <f t="shared" si="155"/>
        <v>A</v>
      </c>
      <c r="HJ33">
        <f t="shared" si="156"/>
        <v>2</v>
      </c>
      <c r="HK33">
        <f t="shared" si="157"/>
        <v>0</v>
      </c>
      <c r="HL33">
        <f t="shared" si="158"/>
        <v>0</v>
      </c>
      <c r="HM33">
        <f t="shared" si="159"/>
        <v>0</v>
      </c>
      <c r="HN33" t="b">
        <f t="shared" ca="1" si="160"/>
        <v>0</v>
      </c>
      <c r="HO33" t="b">
        <f t="shared" ca="1" si="161"/>
        <v>1</v>
      </c>
      <c r="HP33" t="b">
        <f t="shared" ca="1" si="162"/>
        <v>0</v>
      </c>
      <c r="HQ33">
        <f t="shared" ca="1" si="163"/>
        <v>0</v>
      </c>
      <c r="HR33" t="b">
        <f t="shared" si="164"/>
        <v>0</v>
      </c>
      <c r="HS33" t="b">
        <f t="shared" si="165"/>
        <v>0</v>
      </c>
      <c r="HT33">
        <f t="shared" ca="1" si="166"/>
        <v>0</v>
      </c>
      <c r="HU33" s="6">
        <f t="shared" ca="1" si="167"/>
        <v>1</v>
      </c>
      <c r="HV33">
        <f>MATCH(HV$2,Spieltage!$C$438:$C$446,0)+437</f>
        <v>442</v>
      </c>
      <c r="HW33" t="e">
        <f>MATCH(HV$2,Spieltage!$E$438:$E$446,0)+437</f>
        <v>#N/A</v>
      </c>
      <c r="HX33">
        <f t="shared" si="168"/>
        <v>442</v>
      </c>
      <c r="HY33">
        <f ca="1">INDIRECT("Spieltage!$F"&amp;'i2'!HX33)</f>
        <v>0</v>
      </c>
      <c r="HZ33" s="35" t="s">
        <v>12</v>
      </c>
      <c r="IA33" s="97">
        <f ca="1">INDIRECT("Spieltage!$H"&amp;'i2'!HX33)</f>
        <v>0</v>
      </c>
      <c r="IB33" t="str">
        <f t="shared" si="169"/>
        <v>H</v>
      </c>
      <c r="IC33">
        <f t="shared" si="170"/>
        <v>1</v>
      </c>
      <c r="ID33" t="b">
        <f t="shared" ca="1" si="171"/>
        <v>0</v>
      </c>
      <c r="IE33" t="b">
        <f t="shared" ca="1" si="172"/>
        <v>1</v>
      </c>
      <c r="IF33" t="b">
        <f t="shared" ca="1" si="173"/>
        <v>0</v>
      </c>
      <c r="IG33">
        <f t="shared" si="174"/>
        <v>0</v>
      </c>
      <c r="IH33">
        <f t="shared" si="175"/>
        <v>0</v>
      </c>
      <c r="II33">
        <f t="shared" si="176"/>
        <v>0</v>
      </c>
      <c r="IJ33">
        <f t="shared" ca="1" si="177"/>
        <v>0</v>
      </c>
      <c r="IK33">
        <f t="shared" ca="1" si="178"/>
        <v>0</v>
      </c>
      <c r="IL33">
        <f t="shared" ca="1" si="179"/>
        <v>1</v>
      </c>
      <c r="IM33" t="b">
        <f t="shared" si="180"/>
        <v>0</v>
      </c>
      <c r="IN33" s="6" t="b">
        <f t="shared" si="181"/>
        <v>0</v>
      </c>
      <c r="IO33" t="e">
        <f>MATCH(IO$2,Spieltage!$C$438:$C$446,0)+437</f>
        <v>#N/A</v>
      </c>
      <c r="IP33">
        <f>MATCH(IO$2,Spieltage!$E$438:$E$446,0)+437</f>
        <v>441</v>
      </c>
      <c r="IQ33">
        <f t="shared" si="182"/>
        <v>441</v>
      </c>
      <c r="IR33">
        <f ca="1">INDIRECT("Spieltage!$F"&amp;'i2'!IQ33)</f>
        <v>0</v>
      </c>
      <c r="IS33" s="35" t="s">
        <v>12</v>
      </c>
      <c r="IT33" s="97">
        <f ca="1">INDIRECT("Spieltage!$H"&amp;'i2'!IQ33)</f>
        <v>0</v>
      </c>
      <c r="IU33" t="str">
        <f t="shared" si="183"/>
        <v>A</v>
      </c>
      <c r="IV33">
        <f t="shared" si="184"/>
        <v>2</v>
      </c>
      <c r="IW33">
        <f t="shared" si="185"/>
        <v>0</v>
      </c>
      <c r="IX33">
        <f t="shared" si="186"/>
        <v>0</v>
      </c>
      <c r="IY33">
        <f t="shared" si="187"/>
        <v>0</v>
      </c>
      <c r="IZ33" t="b">
        <f t="shared" ca="1" si="188"/>
        <v>0</v>
      </c>
      <c r="JA33" t="b">
        <f t="shared" ca="1" si="189"/>
        <v>1</v>
      </c>
      <c r="JB33" t="b">
        <f t="shared" ca="1" si="190"/>
        <v>0</v>
      </c>
      <c r="JC33">
        <f t="shared" ca="1" si="191"/>
        <v>0</v>
      </c>
      <c r="JD33" t="b">
        <f t="shared" si="192"/>
        <v>0</v>
      </c>
      <c r="JE33" t="b">
        <f t="shared" si="193"/>
        <v>0</v>
      </c>
      <c r="JF33">
        <f t="shared" ca="1" si="194"/>
        <v>0</v>
      </c>
      <c r="JG33" s="6">
        <f t="shared" ca="1" si="195"/>
        <v>1</v>
      </c>
      <c r="JH33">
        <f>MATCH(JH$2,Spieltage!$C$438:$C$446,0)+437</f>
        <v>445</v>
      </c>
      <c r="JI33" t="e">
        <f>MATCH(JH$2,Spieltage!$E$438:$E$446,0)+437</f>
        <v>#N/A</v>
      </c>
      <c r="JJ33">
        <f t="shared" si="196"/>
        <v>445</v>
      </c>
      <c r="JK33">
        <f ca="1">INDIRECT("Spieltage!$F"&amp;'i2'!JJ33)</f>
        <v>0</v>
      </c>
      <c r="JL33" s="35" t="s">
        <v>12</v>
      </c>
      <c r="JM33" s="97">
        <f ca="1">INDIRECT("Spieltage!$H"&amp;'i2'!JJ33)</f>
        <v>0</v>
      </c>
      <c r="JN33" t="str">
        <f t="shared" si="197"/>
        <v>H</v>
      </c>
      <c r="JO33">
        <f t="shared" si="198"/>
        <v>1</v>
      </c>
      <c r="JP33" t="b">
        <f t="shared" ca="1" si="199"/>
        <v>0</v>
      </c>
      <c r="JQ33" t="b">
        <f t="shared" ca="1" si="200"/>
        <v>1</v>
      </c>
      <c r="JR33" t="b">
        <f t="shared" ca="1" si="201"/>
        <v>0</v>
      </c>
      <c r="JS33">
        <f t="shared" si="202"/>
        <v>0</v>
      </c>
      <c r="JT33">
        <f t="shared" si="203"/>
        <v>0</v>
      </c>
      <c r="JU33">
        <f t="shared" si="204"/>
        <v>0</v>
      </c>
      <c r="JV33">
        <f t="shared" ca="1" si="205"/>
        <v>0</v>
      </c>
      <c r="JW33">
        <f t="shared" ca="1" si="206"/>
        <v>0</v>
      </c>
      <c r="JX33">
        <f t="shared" ca="1" si="207"/>
        <v>1</v>
      </c>
      <c r="JY33" t="b">
        <f t="shared" si="208"/>
        <v>0</v>
      </c>
      <c r="JZ33" s="6" t="b">
        <f t="shared" si="209"/>
        <v>0</v>
      </c>
      <c r="KA33" t="e">
        <f>MATCH(KA$2,Spieltage!$C$438:$C$446,0)+437</f>
        <v>#N/A</v>
      </c>
      <c r="KB33">
        <f>MATCH(KA$2,Spieltage!$E$438:$E$446,0)+437</f>
        <v>438</v>
      </c>
      <c r="KC33">
        <f t="shared" si="210"/>
        <v>438</v>
      </c>
      <c r="KD33">
        <f ca="1">INDIRECT("Spieltage!$F"&amp;'i2'!KC33)</f>
        <v>0</v>
      </c>
      <c r="KE33" s="35" t="s">
        <v>12</v>
      </c>
      <c r="KF33" s="97">
        <f ca="1">INDIRECT("Spieltage!$H"&amp;'i2'!KC33)</f>
        <v>0</v>
      </c>
      <c r="KG33" t="str">
        <f t="shared" si="211"/>
        <v>A</v>
      </c>
      <c r="KH33">
        <f t="shared" si="212"/>
        <v>2</v>
      </c>
      <c r="KI33">
        <f t="shared" si="213"/>
        <v>0</v>
      </c>
      <c r="KJ33">
        <f t="shared" si="214"/>
        <v>0</v>
      </c>
      <c r="KK33">
        <f t="shared" si="215"/>
        <v>0</v>
      </c>
      <c r="KL33" t="b">
        <f t="shared" ca="1" si="216"/>
        <v>0</v>
      </c>
      <c r="KM33" t="b">
        <f t="shared" ca="1" si="217"/>
        <v>1</v>
      </c>
      <c r="KN33" t="b">
        <f t="shared" ca="1" si="218"/>
        <v>0</v>
      </c>
      <c r="KO33">
        <f t="shared" ca="1" si="219"/>
        <v>0</v>
      </c>
      <c r="KP33" t="b">
        <f t="shared" si="220"/>
        <v>0</v>
      </c>
      <c r="KQ33" t="b">
        <f t="shared" si="221"/>
        <v>0</v>
      </c>
      <c r="KR33">
        <f t="shared" ca="1" si="222"/>
        <v>0</v>
      </c>
      <c r="KS33" s="6">
        <f t="shared" ca="1" si="223"/>
        <v>1</v>
      </c>
      <c r="KT33" t="e">
        <f>MATCH(KT$2,Spieltage!$C$438:$C$446,0)+437</f>
        <v>#N/A</v>
      </c>
      <c r="KU33">
        <f>MATCH(KT$2,Spieltage!$E$438:$E$446,0)+437</f>
        <v>444</v>
      </c>
      <c r="KV33">
        <f t="shared" si="224"/>
        <v>444</v>
      </c>
      <c r="KW33">
        <f ca="1">INDIRECT("Spieltage!$F"&amp;'i2'!KV33)</f>
        <v>0</v>
      </c>
      <c r="KX33" s="35" t="s">
        <v>12</v>
      </c>
      <c r="KY33" s="97">
        <f ca="1">INDIRECT("Spieltage!$H"&amp;'i2'!KV33)</f>
        <v>0</v>
      </c>
      <c r="KZ33" t="str">
        <f t="shared" si="225"/>
        <v>A</v>
      </c>
      <c r="LA33">
        <f t="shared" si="226"/>
        <v>2</v>
      </c>
      <c r="LB33">
        <f t="shared" si="227"/>
        <v>0</v>
      </c>
      <c r="LC33">
        <f t="shared" si="228"/>
        <v>0</v>
      </c>
      <c r="LD33">
        <f t="shared" si="229"/>
        <v>0</v>
      </c>
      <c r="LE33" t="b">
        <f t="shared" ca="1" si="230"/>
        <v>0</v>
      </c>
      <c r="LF33" t="b">
        <f t="shared" ca="1" si="231"/>
        <v>1</v>
      </c>
      <c r="LG33" t="b">
        <f t="shared" ca="1" si="232"/>
        <v>0</v>
      </c>
      <c r="LH33">
        <f t="shared" ca="1" si="233"/>
        <v>0</v>
      </c>
      <c r="LI33" t="b">
        <f t="shared" si="234"/>
        <v>0</v>
      </c>
      <c r="LJ33" t="b">
        <f t="shared" si="235"/>
        <v>0</v>
      </c>
      <c r="LK33">
        <f t="shared" ca="1" si="236"/>
        <v>0</v>
      </c>
      <c r="LL33" s="6">
        <f t="shared" ca="1" si="237"/>
        <v>1</v>
      </c>
      <c r="LM33" t="e">
        <f>MATCH(LM$2,Spieltage!$C$438:$C$446,0)+437</f>
        <v>#N/A</v>
      </c>
      <c r="LN33">
        <f>MATCH(LM$2,Spieltage!$E$438:$E$446,0)+437</f>
        <v>442</v>
      </c>
      <c r="LO33">
        <f t="shared" si="238"/>
        <v>442</v>
      </c>
      <c r="LP33">
        <f ca="1">INDIRECT("Spieltage!$F"&amp;'i2'!LO33)</f>
        <v>0</v>
      </c>
      <c r="LQ33" s="35" t="s">
        <v>12</v>
      </c>
      <c r="LR33" s="97">
        <f ca="1">INDIRECT("Spieltage!$H"&amp;'i2'!LO33)</f>
        <v>0</v>
      </c>
      <c r="LS33" t="str">
        <f t="shared" si="239"/>
        <v>A</v>
      </c>
      <c r="LT33">
        <f t="shared" si="240"/>
        <v>2</v>
      </c>
      <c r="LU33">
        <f t="shared" si="241"/>
        <v>0</v>
      </c>
      <c r="LV33">
        <f t="shared" si="242"/>
        <v>0</v>
      </c>
      <c r="LW33">
        <f t="shared" si="243"/>
        <v>0</v>
      </c>
      <c r="LX33" t="b">
        <f t="shared" ca="1" si="244"/>
        <v>0</v>
      </c>
      <c r="LY33" t="b">
        <f t="shared" ca="1" si="245"/>
        <v>1</v>
      </c>
      <c r="LZ33" t="b">
        <f t="shared" ca="1" si="246"/>
        <v>0</v>
      </c>
      <c r="MA33">
        <f t="shared" ca="1" si="247"/>
        <v>0</v>
      </c>
      <c r="MB33" t="b">
        <f t="shared" si="248"/>
        <v>0</v>
      </c>
      <c r="MC33" t="b">
        <f t="shared" si="249"/>
        <v>0</v>
      </c>
      <c r="MD33">
        <f t="shared" ca="1" si="250"/>
        <v>0</v>
      </c>
      <c r="ME33" s="6">
        <f t="shared" ca="1" si="251"/>
        <v>1</v>
      </c>
    </row>
    <row r="34" spans="1:343" x14ac:dyDescent="0.2">
      <c r="A34" s="104" t="s">
        <v>242</v>
      </c>
      <c r="B34" t="e">
        <f>MATCH(B$2,Spieltage!$C$453:$C$461,0)+452</f>
        <v>#N/A</v>
      </c>
      <c r="C34">
        <f>MATCH(B$2,Spieltage!$E$453:$E$461,0)+452</f>
        <v>453</v>
      </c>
      <c r="D34">
        <f t="shared" si="0"/>
        <v>453</v>
      </c>
      <c r="E34">
        <f ca="1">INDIRECT("Spieltage!$F"&amp;'i2'!D34)</f>
        <v>0</v>
      </c>
      <c r="F34" s="35" t="s">
        <v>12</v>
      </c>
      <c r="G34" s="97">
        <f ca="1">INDIRECT("Spieltage!$H"&amp;'i2'!D34)</f>
        <v>0</v>
      </c>
      <c r="H34" t="str">
        <f t="shared" si="1"/>
        <v>A</v>
      </c>
      <c r="I34">
        <f t="shared" si="2"/>
        <v>2</v>
      </c>
      <c r="J34">
        <f t="shared" si="3"/>
        <v>0</v>
      </c>
      <c r="K34">
        <f t="shared" si="4"/>
        <v>0</v>
      </c>
      <c r="L34">
        <f t="shared" si="5"/>
        <v>0</v>
      </c>
      <c r="M34" t="b">
        <f t="shared" ca="1" si="6"/>
        <v>0</v>
      </c>
      <c r="N34" t="b">
        <f t="shared" ca="1" si="7"/>
        <v>1</v>
      </c>
      <c r="O34" t="b">
        <f t="shared" ca="1" si="8"/>
        <v>0</v>
      </c>
      <c r="P34">
        <f t="shared" ca="1" si="9"/>
        <v>0</v>
      </c>
      <c r="Q34" t="b">
        <f t="shared" si="10"/>
        <v>0</v>
      </c>
      <c r="R34" t="b">
        <f t="shared" si="11"/>
        <v>0</v>
      </c>
      <c r="S34">
        <f t="shared" ca="1" si="12"/>
        <v>0</v>
      </c>
      <c r="T34" s="6">
        <f t="shared" ca="1" si="13"/>
        <v>1</v>
      </c>
      <c r="U34">
        <f>MATCH(U$2,Spieltage!$C$453:$C$461,0)+452</f>
        <v>459</v>
      </c>
      <c r="V34" t="e">
        <f>MATCH(U$2,Spieltage!$E$453:$E$461,0)+452</f>
        <v>#N/A</v>
      </c>
      <c r="W34">
        <f t="shared" si="14"/>
        <v>459</v>
      </c>
      <c r="X34">
        <f ca="1">INDIRECT("Spieltage!$F"&amp;'i2'!W34)</f>
        <v>0</v>
      </c>
      <c r="Y34" s="35" t="s">
        <v>12</v>
      </c>
      <c r="Z34" s="97">
        <f ca="1">INDIRECT("Spieltage!$H"&amp;'i2'!W34)</f>
        <v>0</v>
      </c>
      <c r="AA34" t="str">
        <f t="shared" si="15"/>
        <v>H</v>
      </c>
      <c r="AB34">
        <f t="shared" si="16"/>
        <v>1</v>
      </c>
      <c r="AC34" t="b">
        <f t="shared" ca="1" si="17"/>
        <v>0</v>
      </c>
      <c r="AD34" t="b">
        <f t="shared" ca="1" si="18"/>
        <v>1</v>
      </c>
      <c r="AE34" t="b">
        <f t="shared" ca="1" si="19"/>
        <v>0</v>
      </c>
      <c r="AF34">
        <f t="shared" si="20"/>
        <v>0</v>
      </c>
      <c r="AG34">
        <f t="shared" si="21"/>
        <v>0</v>
      </c>
      <c r="AH34">
        <f t="shared" si="22"/>
        <v>0</v>
      </c>
      <c r="AI34">
        <f t="shared" ca="1" si="23"/>
        <v>0</v>
      </c>
      <c r="AJ34">
        <f t="shared" ca="1" si="24"/>
        <v>0</v>
      </c>
      <c r="AK34">
        <f t="shared" ca="1" si="25"/>
        <v>1</v>
      </c>
      <c r="AL34" t="b">
        <f t="shared" si="26"/>
        <v>0</v>
      </c>
      <c r="AM34" s="6" t="b">
        <f t="shared" si="27"/>
        <v>0</v>
      </c>
      <c r="AN34" t="e">
        <f>MATCH(AN$2,Spieltage!$C$453:$C$461,0)+452</f>
        <v>#N/A</v>
      </c>
      <c r="AO34">
        <f>MATCH(AN$2,Spieltage!$E$453:$E$461,0)+452</f>
        <v>454</v>
      </c>
      <c r="AP34">
        <f t="shared" si="28"/>
        <v>454</v>
      </c>
      <c r="AQ34">
        <f ca="1">INDIRECT("Spieltage!$F"&amp;'i2'!AP34)</f>
        <v>0</v>
      </c>
      <c r="AR34" s="35" t="s">
        <v>12</v>
      </c>
      <c r="AS34" s="97">
        <f ca="1">INDIRECT("Spieltage!$H"&amp;'i2'!AP34)</f>
        <v>0</v>
      </c>
      <c r="AT34" t="str">
        <f t="shared" si="29"/>
        <v>A</v>
      </c>
      <c r="AU34">
        <f t="shared" si="30"/>
        <v>2</v>
      </c>
      <c r="AV34">
        <f t="shared" si="31"/>
        <v>0</v>
      </c>
      <c r="AW34">
        <f t="shared" si="32"/>
        <v>0</v>
      </c>
      <c r="AX34">
        <f t="shared" si="33"/>
        <v>0</v>
      </c>
      <c r="AY34" t="b">
        <f t="shared" ca="1" si="34"/>
        <v>0</v>
      </c>
      <c r="AZ34" t="b">
        <f t="shared" ca="1" si="35"/>
        <v>1</v>
      </c>
      <c r="BA34" t="b">
        <f t="shared" ca="1" si="36"/>
        <v>0</v>
      </c>
      <c r="BB34">
        <f t="shared" ca="1" si="37"/>
        <v>0</v>
      </c>
      <c r="BC34" t="b">
        <f t="shared" si="38"/>
        <v>0</v>
      </c>
      <c r="BD34" t="b">
        <f t="shared" si="39"/>
        <v>0</v>
      </c>
      <c r="BE34">
        <f t="shared" ca="1" si="40"/>
        <v>0</v>
      </c>
      <c r="BF34" s="6">
        <f t="shared" ca="1" si="41"/>
        <v>1</v>
      </c>
      <c r="BG34" t="e">
        <f>MATCH(BG$2,Spieltage!$C$453:$C$461,0)+452</f>
        <v>#N/A</v>
      </c>
      <c r="BH34">
        <f>MATCH(BG$2,Spieltage!$E$453:$E$461,0)+452</f>
        <v>461</v>
      </c>
      <c r="BI34">
        <f t="shared" si="42"/>
        <v>461</v>
      </c>
      <c r="BJ34">
        <f ca="1">INDIRECT("Spieltage!$F"&amp;'i2'!BI34)</f>
        <v>0</v>
      </c>
      <c r="BK34" s="35" t="s">
        <v>12</v>
      </c>
      <c r="BL34" s="97">
        <f ca="1">INDIRECT("Spieltage!$H"&amp;'i2'!BI34)</f>
        <v>0</v>
      </c>
      <c r="BM34" t="str">
        <f t="shared" si="43"/>
        <v>A</v>
      </c>
      <c r="BN34">
        <f t="shared" si="44"/>
        <v>2</v>
      </c>
      <c r="BO34">
        <f t="shared" si="45"/>
        <v>0</v>
      </c>
      <c r="BP34">
        <f t="shared" si="46"/>
        <v>0</v>
      </c>
      <c r="BQ34">
        <f t="shared" si="47"/>
        <v>0</v>
      </c>
      <c r="BR34" t="b">
        <f t="shared" ca="1" si="48"/>
        <v>0</v>
      </c>
      <c r="BS34" t="b">
        <f t="shared" ca="1" si="49"/>
        <v>1</v>
      </c>
      <c r="BT34" t="b">
        <f t="shared" ca="1" si="50"/>
        <v>0</v>
      </c>
      <c r="BU34">
        <f t="shared" ca="1" si="51"/>
        <v>0</v>
      </c>
      <c r="BV34" t="b">
        <f t="shared" si="52"/>
        <v>0</v>
      </c>
      <c r="BW34" t="b">
        <f t="shared" si="53"/>
        <v>0</v>
      </c>
      <c r="BX34">
        <f t="shared" ca="1" si="54"/>
        <v>0</v>
      </c>
      <c r="BY34" s="6">
        <f t="shared" ca="1" si="55"/>
        <v>1</v>
      </c>
      <c r="BZ34" t="e">
        <f>MATCH(BZ$2,Spieltage!$C$453:$C$461,0)+452</f>
        <v>#N/A</v>
      </c>
      <c r="CA34">
        <f>MATCH(BZ$2,Spieltage!$E$453:$E$461,0)+452</f>
        <v>455</v>
      </c>
      <c r="CB34">
        <f t="shared" si="56"/>
        <v>455</v>
      </c>
      <c r="CC34">
        <f ca="1">INDIRECT("Spieltage!$F"&amp;'i2'!CB34)</f>
        <v>0</v>
      </c>
      <c r="CD34" s="35" t="s">
        <v>12</v>
      </c>
      <c r="CE34" s="97">
        <f ca="1">INDIRECT("Spieltage!$H"&amp;'i2'!CB34)</f>
        <v>0</v>
      </c>
      <c r="CF34" t="str">
        <f t="shared" si="57"/>
        <v>A</v>
      </c>
      <c r="CG34">
        <f t="shared" si="58"/>
        <v>2</v>
      </c>
      <c r="CH34">
        <f t="shared" si="59"/>
        <v>0</v>
      </c>
      <c r="CI34">
        <f t="shared" si="60"/>
        <v>0</v>
      </c>
      <c r="CJ34">
        <f t="shared" si="61"/>
        <v>0</v>
      </c>
      <c r="CK34" t="b">
        <f t="shared" ca="1" si="62"/>
        <v>0</v>
      </c>
      <c r="CL34" t="b">
        <f t="shared" ca="1" si="63"/>
        <v>1</v>
      </c>
      <c r="CM34" t="b">
        <f t="shared" ca="1" si="64"/>
        <v>0</v>
      </c>
      <c r="CN34">
        <f t="shared" ca="1" si="65"/>
        <v>0</v>
      </c>
      <c r="CO34" t="b">
        <f t="shared" si="66"/>
        <v>0</v>
      </c>
      <c r="CP34" t="b">
        <f t="shared" si="67"/>
        <v>0</v>
      </c>
      <c r="CQ34">
        <f t="shared" ca="1" si="68"/>
        <v>0</v>
      </c>
      <c r="CR34" s="6">
        <f t="shared" ca="1" si="69"/>
        <v>1</v>
      </c>
      <c r="CS34" t="e">
        <f>MATCH(CS$2,Spieltage!$C$453:$C$461,0)+452</f>
        <v>#N/A</v>
      </c>
      <c r="CT34">
        <f>MATCH(CS$2,Spieltage!$E$453:$E$461,0)+452</f>
        <v>457</v>
      </c>
      <c r="CU34">
        <f t="shared" si="70"/>
        <v>457</v>
      </c>
      <c r="CV34">
        <f ca="1">INDIRECT("Spieltage!$F"&amp;'i2'!CU34)</f>
        <v>0</v>
      </c>
      <c r="CW34" s="35" t="s">
        <v>12</v>
      </c>
      <c r="CX34" s="97">
        <f ca="1">INDIRECT("Spieltage!$H"&amp;'i2'!CU34)</f>
        <v>0</v>
      </c>
      <c r="CY34" t="str">
        <f t="shared" si="71"/>
        <v>A</v>
      </c>
      <c r="CZ34">
        <f t="shared" si="72"/>
        <v>2</v>
      </c>
      <c r="DA34">
        <f t="shared" si="73"/>
        <v>0</v>
      </c>
      <c r="DB34">
        <f t="shared" si="74"/>
        <v>0</v>
      </c>
      <c r="DC34">
        <f t="shared" si="75"/>
        <v>0</v>
      </c>
      <c r="DD34" t="b">
        <f t="shared" ca="1" si="76"/>
        <v>0</v>
      </c>
      <c r="DE34" t="b">
        <f t="shared" ca="1" si="77"/>
        <v>1</v>
      </c>
      <c r="DF34" t="b">
        <f t="shared" ca="1" si="78"/>
        <v>0</v>
      </c>
      <c r="DG34">
        <f t="shared" ca="1" si="79"/>
        <v>0</v>
      </c>
      <c r="DH34" t="b">
        <f t="shared" si="80"/>
        <v>0</v>
      </c>
      <c r="DI34" t="b">
        <f t="shared" si="81"/>
        <v>0</v>
      </c>
      <c r="DJ34">
        <f t="shared" ca="1" si="82"/>
        <v>0</v>
      </c>
      <c r="DK34" s="6">
        <f t="shared" ca="1" si="83"/>
        <v>1</v>
      </c>
      <c r="DL34" t="e">
        <f>MATCH(DL$2,Spieltage!$C$453:$C$461,0)+452</f>
        <v>#N/A</v>
      </c>
      <c r="DM34">
        <f>MATCH(DL$2,Spieltage!$E$453:$E$461,0)+452</f>
        <v>456</v>
      </c>
      <c r="DN34">
        <f t="shared" si="84"/>
        <v>456</v>
      </c>
      <c r="DO34">
        <f ca="1">INDIRECT("Spieltage!$F"&amp;'i2'!DN34)</f>
        <v>0</v>
      </c>
      <c r="DP34" s="35" t="s">
        <v>12</v>
      </c>
      <c r="DQ34" s="97">
        <f ca="1">INDIRECT("Spieltage!$H"&amp;'i2'!DN34)</f>
        <v>0</v>
      </c>
      <c r="DR34" t="str">
        <f t="shared" si="85"/>
        <v>A</v>
      </c>
      <c r="DS34">
        <f t="shared" si="86"/>
        <v>2</v>
      </c>
      <c r="DT34">
        <f t="shared" si="87"/>
        <v>0</v>
      </c>
      <c r="DU34">
        <f t="shared" si="88"/>
        <v>0</v>
      </c>
      <c r="DV34">
        <f t="shared" si="89"/>
        <v>0</v>
      </c>
      <c r="DW34" t="b">
        <f t="shared" ca="1" si="90"/>
        <v>0</v>
      </c>
      <c r="DX34" t="b">
        <f t="shared" ca="1" si="91"/>
        <v>1</v>
      </c>
      <c r="DY34" t="b">
        <f t="shared" ca="1" si="92"/>
        <v>0</v>
      </c>
      <c r="DZ34">
        <f t="shared" ca="1" si="93"/>
        <v>0</v>
      </c>
      <c r="EA34" t="b">
        <f t="shared" si="94"/>
        <v>0</v>
      </c>
      <c r="EB34" t="b">
        <f t="shared" si="95"/>
        <v>0</v>
      </c>
      <c r="EC34">
        <f t="shared" ca="1" si="96"/>
        <v>0</v>
      </c>
      <c r="ED34" s="6">
        <f t="shared" ca="1" si="97"/>
        <v>1</v>
      </c>
      <c r="EE34">
        <f>MATCH(EE$2,Spieltage!$C$453:$C$461,0)+452</f>
        <v>455</v>
      </c>
      <c r="EF34" t="e">
        <f>MATCH(EE$2,Spieltage!$E$453:$E$461,0)+452</f>
        <v>#N/A</v>
      </c>
      <c r="EG34">
        <f t="shared" si="98"/>
        <v>455</v>
      </c>
      <c r="EH34">
        <f ca="1">INDIRECT("Spieltage!$F"&amp;'i2'!EG34)</f>
        <v>0</v>
      </c>
      <c r="EI34" s="35" t="s">
        <v>12</v>
      </c>
      <c r="EJ34" s="97">
        <f ca="1">INDIRECT("Spieltage!$H"&amp;'i2'!EG34)</f>
        <v>0</v>
      </c>
      <c r="EK34" t="str">
        <f t="shared" si="99"/>
        <v>H</v>
      </c>
      <c r="EL34">
        <f t="shared" si="100"/>
        <v>1</v>
      </c>
      <c r="EM34" t="b">
        <f t="shared" ca="1" si="101"/>
        <v>0</v>
      </c>
      <c r="EN34" t="b">
        <f t="shared" ca="1" si="102"/>
        <v>1</v>
      </c>
      <c r="EO34" t="b">
        <f t="shared" ca="1" si="103"/>
        <v>0</v>
      </c>
      <c r="EP34">
        <f t="shared" si="104"/>
        <v>0</v>
      </c>
      <c r="EQ34">
        <f t="shared" si="105"/>
        <v>0</v>
      </c>
      <c r="ER34">
        <f t="shared" si="106"/>
        <v>0</v>
      </c>
      <c r="ES34">
        <f t="shared" ca="1" si="107"/>
        <v>0</v>
      </c>
      <c r="ET34">
        <f t="shared" ca="1" si="108"/>
        <v>0</v>
      </c>
      <c r="EU34">
        <f t="shared" ca="1" si="109"/>
        <v>1</v>
      </c>
      <c r="EV34" t="b">
        <f t="shared" si="110"/>
        <v>0</v>
      </c>
      <c r="EW34" s="6" t="b">
        <f t="shared" si="111"/>
        <v>0</v>
      </c>
      <c r="EX34">
        <f>MATCH(EX$2,Spieltage!$C$453:$C$461,0)+452</f>
        <v>453</v>
      </c>
      <c r="EY34" t="e">
        <f>MATCH(EX$2,Spieltage!$E$453:$E$461,0)+452</f>
        <v>#N/A</v>
      </c>
      <c r="EZ34">
        <f t="shared" si="112"/>
        <v>453</v>
      </c>
      <c r="FA34">
        <f ca="1">INDIRECT("Spieltage!$F"&amp;'i2'!EZ34)</f>
        <v>0</v>
      </c>
      <c r="FB34" s="35" t="s">
        <v>12</v>
      </c>
      <c r="FC34" s="97">
        <f ca="1">INDIRECT("Spieltage!$H"&amp;'i2'!EZ34)</f>
        <v>0</v>
      </c>
      <c r="FD34" t="str">
        <f t="shared" si="113"/>
        <v>H</v>
      </c>
      <c r="FE34">
        <f t="shared" si="114"/>
        <v>1</v>
      </c>
      <c r="FF34" t="b">
        <f t="shared" ca="1" si="115"/>
        <v>0</v>
      </c>
      <c r="FG34" t="b">
        <f t="shared" ca="1" si="116"/>
        <v>1</v>
      </c>
      <c r="FH34" t="b">
        <f t="shared" ca="1" si="117"/>
        <v>0</v>
      </c>
      <c r="FI34">
        <f t="shared" si="118"/>
        <v>0</v>
      </c>
      <c r="FJ34">
        <f t="shared" si="119"/>
        <v>0</v>
      </c>
      <c r="FK34">
        <f t="shared" si="120"/>
        <v>0</v>
      </c>
      <c r="FL34">
        <f t="shared" ca="1" si="121"/>
        <v>0</v>
      </c>
      <c r="FM34">
        <f t="shared" ca="1" si="122"/>
        <v>0</v>
      </c>
      <c r="FN34">
        <f t="shared" ca="1" si="123"/>
        <v>1</v>
      </c>
      <c r="FO34" t="b">
        <f t="shared" si="124"/>
        <v>0</v>
      </c>
      <c r="FP34" s="6" t="b">
        <f t="shared" si="125"/>
        <v>0</v>
      </c>
      <c r="FQ34">
        <f>MATCH(FQ$2,Spieltage!$C$453:$C$461,0)+452</f>
        <v>454</v>
      </c>
      <c r="FR34" t="e">
        <f>MATCH(FQ$2,Spieltage!$E$453:$E$461,0)+452</f>
        <v>#N/A</v>
      </c>
      <c r="FS34">
        <f t="shared" si="126"/>
        <v>454</v>
      </c>
      <c r="FT34">
        <f ca="1">INDIRECT("Spieltage!$F"&amp;'i2'!FS34)</f>
        <v>0</v>
      </c>
      <c r="FU34" s="35" t="s">
        <v>12</v>
      </c>
      <c r="FV34" s="97">
        <f ca="1">INDIRECT("Spieltage!$H"&amp;'i2'!FS34)</f>
        <v>0</v>
      </c>
      <c r="FW34" t="str">
        <f t="shared" si="127"/>
        <v>H</v>
      </c>
      <c r="FX34">
        <f t="shared" si="128"/>
        <v>1</v>
      </c>
      <c r="FY34" t="b">
        <f t="shared" ca="1" si="129"/>
        <v>0</v>
      </c>
      <c r="FZ34" t="b">
        <f t="shared" ca="1" si="130"/>
        <v>1</v>
      </c>
      <c r="GA34" t="b">
        <f t="shared" ca="1" si="131"/>
        <v>0</v>
      </c>
      <c r="GB34">
        <f t="shared" si="132"/>
        <v>0</v>
      </c>
      <c r="GC34">
        <f t="shared" si="133"/>
        <v>0</v>
      </c>
      <c r="GD34">
        <f t="shared" si="134"/>
        <v>0</v>
      </c>
      <c r="GE34">
        <f t="shared" ca="1" si="135"/>
        <v>0</v>
      </c>
      <c r="GF34">
        <f t="shared" ca="1" si="136"/>
        <v>0</v>
      </c>
      <c r="GG34">
        <f t="shared" ca="1" si="137"/>
        <v>1</v>
      </c>
      <c r="GH34" t="b">
        <f t="shared" si="138"/>
        <v>0</v>
      </c>
      <c r="GI34" s="6" t="b">
        <f t="shared" si="139"/>
        <v>0</v>
      </c>
      <c r="GJ34" t="e">
        <f>MATCH(GJ$2,Spieltage!$C$453:$C$461,0)+452</f>
        <v>#N/A</v>
      </c>
      <c r="GK34">
        <f>MATCH(GJ$2,Spieltage!$E$453:$E$461,0)+452</f>
        <v>458</v>
      </c>
      <c r="GL34">
        <f t="shared" si="140"/>
        <v>458</v>
      </c>
      <c r="GM34">
        <f ca="1">INDIRECT("Spieltage!$F"&amp;'i2'!GL34)</f>
        <v>0</v>
      </c>
      <c r="GN34" s="35" t="s">
        <v>12</v>
      </c>
      <c r="GO34" s="97">
        <f ca="1">INDIRECT("Spieltage!$H"&amp;'i2'!GL34)</f>
        <v>0</v>
      </c>
      <c r="GP34" t="str">
        <f t="shared" si="141"/>
        <v>A</v>
      </c>
      <c r="GQ34">
        <f t="shared" si="142"/>
        <v>2</v>
      </c>
      <c r="GR34">
        <f t="shared" si="143"/>
        <v>0</v>
      </c>
      <c r="GS34">
        <f t="shared" si="144"/>
        <v>0</v>
      </c>
      <c r="GT34">
        <f t="shared" si="145"/>
        <v>0</v>
      </c>
      <c r="GU34" t="b">
        <f t="shared" ca="1" si="146"/>
        <v>0</v>
      </c>
      <c r="GV34" t="b">
        <f t="shared" ca="1" si="147"/>
        <v>1</v>
      </c>
      <c r="GW34" t="b">
        <f t="shared" ca="1" si="148"/>
        <v>0</v>
      </c>
      <c r="GX34">
        <f t="shared" ca="1" si="149"/>
        <v>0</v>
      </c>
      <c r="GY34" t="b">
        <f t="shared" si="150"/>
        <v>0</v>
      </c>
      <c r="GZ34" t="b">
        <f t="shared" si="151"/>
        <v>0</v>
      </c>
      <c r="HA34">
        <f t="shared" ca="1" si="152"/>
        <v>0</v>
      </c>
      <c r="HB34" s="6">
        <f t="shared" ca="1" si="153"/>
        <v>1</v>
      </c>
      <c r="HC34">
        <f>MATCH(HC$2,Spieltage!$C$453:$C$461,0)+452</f>
        <v>461</v>
      </c>
      <c r="HD34" t="e">
        <f>MATCH(HC$2,Spieltage!$E$453:$E$461,0)+452</f>
        <v>#N/A</v>
      </c>
      <c r="HE34">
        <f t="shared" si="154"/>
        <v>461</v>
      </c>
      <c r="HF34">
        <f ca="1">INDIRECT("Spieltage!$F"&amp;'i2'!HE34)</f>
        <v>0</v>
      </c>
      <c r="HG34" s="35" t="s">
        <v>12</v>
      </c>
      <c r="HH34" s="97">
        <f ca="1">INDIRECT("Spieltage!$H"&amp;'i2'!HE34)</f>
        <v>0</v>
      </c>
      <c r="HI34" t="str">
        <f t="shared" si="155"/>
        <v>H</v>
      </c>
      <c r="HJ34">
        <f t="shared" si="156"/>
        <v>1</v>
      </c>
      <c r="HK34" t="b">
        <f t="shared" ca="1" si="157"/>
        <v>0</v>
      </c>
      <c r="HL34" t="b">
        <f t="shared" ca="1" si="158"/>
        <v>1</v>
      </c>
      <c r="HM34" t="b">
        <f t="shared" ca="1" si="159"/>
        <v>0</v>
      </c>
      <c r="HN34">
        <f t="shared" si="160"/>
        <v>0</v>
      </c>
      <c r="HO34">
        <f t="shared" si="161"/>
        <v>0</v>
      </c>
      <c r="HP34">
        <f t="shared" si="162"/>
        <v>0</v>
      </c>
      <c r="HQ34">
        <f t="shared" ca="1" si="163"/>
        <v>0</v>
      </c>
      <c r="HR34">
        <f t="shared" ca="1" si="164"/>
        <v>0</v>
      </c>
      <c r="HS34">
        <f t="shared" ca="1" si="165"/>
        <v>1</v>
      </c>
      <c r="HT34" t="b">
        <f t="shared" si="166"/>
        <v>0</v>
      </c>
      <c r="HU34" s="6" t="b">
        <f t="shared" si="167"/>
        <v>0</v>
      </c>
      <c r="HV34" t="e">
        <f>MATCH(HV$2,Spieltage!$C$453:$C$461,0)+452</f>
        <v>#N/A</v>
      </c>
      <c r="HW34">
        <f>MATCH(HV$2,Spieltage!$E$453:$E$461,0)+452</f>
        <v>459</v>
      </c>
      <c r="HX34">
        <f t="shared" si="168"/>
        <v>459</v>
      </c>
      <c r="HY34">
        <f ca="1">INDIRECT("Spieltage!$F"&amp;'i2'!HX34)</f>
        <v>0</v>
      </c>
      <c r="HZ34" s="35" t="s">
        <v>12</v>
      </c>
      <c r="IA34" s="97">
        <f ca="1">INDIRECT("Spieltage!$H"&amp;'i2'!HX34)</f>
        <v>0</v>
      </c>
      <c r="IB34" t="str">
        <f t="shared" si="169"/>
        <v>A</v>
      </c>
      <c r="IC34">
        <f t="shared" si="170"/>
        <v>2</v>
      </c>
      <c r="ID34">
        <f t="shared" si="171"/>
        <v>0</v>
      </c>
      <c r="IE34">
        <f t="shared" si="172"/>
        <v>0</v>
      </c>
      <c r="IF34">
        <f t="shared" si="173"/>
        <v>0</v>
      </c>
      <c r="IG34" t="b">
        <f t="shared" ca="1" si="174"/>
        <v>0</v>
      </c>
      <c r="IH34" t="b">
        <f t="shared" ca="1" si="175"/>
        <v>1</v>
      </c>
      <c r="II34" t="b">
        <f t="shared" ca="1" si="176"/>
        <v>0</v>
      </c>
      <c r="IJ34">
        <f t="shared" ca="1" si="177"/>
        <v>0</v>
      </c>
      <c r="IK34" t="b">
        <f t="shared" si="178"/>
        <v>0</v>
      </c>
      <c r="IL34" t="b">
        <f t="shared" si="179"/>
        <v>0</v>
      </c>
      <c r="IM34">
        <f t="shared" ca="1" si="180"/>
        <v>0</v>
      </c>
      <c r="IN34" s="6">
        <f t="shared" ca="1" si="181"/>
        <v>1</v>
      </c>
      <c r="IO34">
        <f>MATCH(IO$2,Spieltage!$C$453:$C$461,0)+452</f>
        <v>457</v>
      </c>
      <c r="IP34" t="e">
        <f>MATCH(IO$2,Spieltage!$E$453:$E$461,0)+452</f>
        <v>#N/A</v>
      </c>
      <c r="IQ34">
        <f t="shared" si="182"/>
        <v>457</v>
      </c>
      <c r="IR34">
        <f ca="1">INDIRECT("Spieltage!$F"&amp;'i2'!IQ34)</f>
        <v>0</v>
      </c>
      <c r="IS34" s="35" t="s">
        <v>12</v>
      </c>
      <c r="IT34" s="97">
        <f ca="1">INDIRECT("Spieltage!$H"&amp;'i2'!IQ34)</f>
        <v>0</v>
      </c>
      <c r="IU34" t="str">
        <f t="shared" si="183"/>
        <v>H</v>
      </c>
      <c r="IV34">
        <f t="shared" si="184"/>
        <v>1</v>
      </c>
      <c r="IW34" t="b">
        <f t="shared" ca="1" si="185"/>
        <v>0</v>
      </c>
      <c r="IX34" t="b">
        <f t="shared" ca="1" si="186"/>
        <v>1</v>
      </c>
      <c r="IY34" t="b">
        <f t="shared" ca="1" si="187"/>
        <v>0</v>
      </c>
      <c r="IZ34">
        <f t="shared" si="188"/>
        <v>0</v>
      </c>
      <c r="JA34">
        <f t="shared" si="189"/>
        <v>0</v>
      </c>
      <c r="JB34">
        <f t="shared" si="190"/>
        <v>0</v>
      </c>
      <c r="JC34">
        <f t="shared" ca="1" si="191"/>
        <v>0</v>
      </c>
      <c r="JD34">
        <f t="shared" ca="1" si="192"/>
        <v>0</v>
      </c>
      <c r="JE34">
        <f t="shared" ca="1" si="193"/>
        <v>1</v>
      </c>
      <c r="JF34" t="b">
        <f t="shared" si="194"/>
        <v>0</v>
      </c>
      <c r="JG34" s="6" t="b">
        <f t="shared" si="195"/>
        <v>0</v>
      </c>
      <c r="JH34" t="e">
        <f>MATCH(JH$2,Spieltage!$C$453:$C$461,0)+452</f>
        <v>#N/A</v>
      </c>
      <c r="JI34">
        <f>MATCH(JH$2,Spieltage!$E$453:$E$461,0)+452</f>
        <v>460</v>
      </c>
      <c r="JJ34">
        <f t="shared" si="196"/>
        <v>460</v>
      </c>
      <c r="JK34">
        <f ca="1">INDIRECT("Spieltage!$F"&amp;'i2'!JJ34)</f>
        <v>0</v>
      </c>
      <c r="JL34" s="35" t="s">
        <v>12</v>
      </c>
      <c r="JM34" s="97">
        <f ca="1">INDIRECT("Spieltage!$H"&amp;'i2'!JJ34)</f>
        <v>0</v>
      </c>
      <c r="JN34" t="str">
        <f t="shared" si="197"/>
        <v>A</v>
      </c>
      <c r="JO34">
        <f t="shared" si="198"/>
        <v>2</v>
      </c>
      <c r="JP34">
        <f t="shared" si="199"/>
        <v>0</v>
      </c>
      <c r="JQ34">
        <f t="shared" si="200"/>
        <v>0</v>
      </c>
      <c r="JR34">
        <f t="shared" si="201"/>
        <v>0</v>
      </c>
      <c r="JS34" t="b">
        <f t="shared" ca="1" si="202"/>
        <v>0</v>
      </c>
      <c r="JT34" t="b">
        <f t="shared" ca="1" si="203"/>
        <v>1</v>
      </c>
      <c r="JU34" t="b">
        <f t="shared" ca="1" si="204"/>
        <v>0</v>
      </c>
      <c r="JV34">
        <f t="shared" ca="1" si="205"/>
        <v>0</v>
      </c>
      <c r="JW34" t="b">
        <f t="shared" si="206"/>
        <v>0</v>
      </c>
      <c r="JX34" t="b">
        <f t="shared" si="207"/>
        <v>0</v>
      </c>
      <c r="JY34">
        <f t="shared" ca="1" si="208"/>
        <v>0</v>
      </c>
      <c r="JZ34" s="6">
        <f t="shared" ca="1" si="209"/>
        <v>1</v>
      </c>
      <c r="KA34">
        <f>MATCH(KA$2,Spieltage!$C$453:$C$461,0)+452</f>
        <v>456</v>
      </c>
      <c r="KB34" t="e">
        <f>MATCH(KA$2,Spieltage!$E$453:$E$461,0)+452</f>
        <v>#N/A</v>
      </c>
      <c r="KC34">
        <f t="shared" si="210"/>
        <v>456</v>
      </c>
      <c r="KD34">
        <f ca="1">INDIRECT("Spieltage!$F"&amp;'i2'!KC34)</f>
        <v>0</v>
      </c>
      <c r="KE34" s="35" t="s">
        <v>12</v>
      </c>
      <c r="KF34" s="97">
        <f ca="1">INDIRECT("Spieltage!$H"&amp;'i2'!KC34)</f>
        <v>0</v>
      </c>
      <c r="KG34" t="str">
        <f t="shared" si="211"/>
        <v>H</v>
      </c>
      <c r="KH34">
        <f t="shared" si="212"/>
        <v>1</v>
      </c>
      <c r="KI34" t="b">
        <f t="shared" ca="1" si="213"/>
        <v>0</v>
      </c>
      <c r="KJ34" t="b">
        <f t="shared" ca="1" si="214"/>
        <v>1</v>
      </c>
      <c r="KK34" t="b">
        <f t="shared" ca="1" si="215"/>
        <v>0</v>
      </c>
      <c r="KL34">
        <f t="shared" si="216"/>
        <v>0</v>
      </c>
      <c r="KM34">
        <f t="shared" si="217"/>
        <v>0</v>
      </c>
      <c r="KN34">
        <f t="shared" si="218"/>
        <v>0</v>
      </c>
      <c r="KO34">
        <f t="shared" ca="1" si="219"/>
        <v>0</v>
      </c>
      <c r="KP34">
        <f t="shared" ca="1" si="220"/>
        <v>0</v>
      </c>
      <c r="KQ34">
        <f t="shared" ca="1" si="221"/>
        <v>1</v>
      </c>
      <c r="KR34" t="b">
        <f t="shared" si="222"/>
        <v>0</v>
      </c>
      <c r="KS34" s="6" t="b">
        <f t="shared" si="223"/>
        <v>0</v>
      </c>
      <c r="KT34">
        <f>MATCH(KT$2,Spieltage!$C$453:$C$461,0)+452</f>
        <v>460</v>
      </c>
      <c r="KU34" t="e">
        <f>MATCH(KT$2,Spieltage!$E$453:$E$461,0)+452</f>
        <v>#N/A</v>
      </c>
      <c r="KV34">
        <f t="shared" si="224"/>
        <v>460</v>
      </c>
      <c r="KW34">
        <f ca="1">INDIRECT("Spieltage!$F"&amp;'i2'!KV34)</f>
        <v>0</v>
      </c>
      <c r="KX34" s="35" t="s">
        <v>12</v>
      </c>
      <c r="KY34" s="97">
        <f ca="1">INDIRECT("Spieltage!$H"&amp;'i2'!KV34)</f>
        <v>0</v>
      </c>
      <c r="KZ34" t="str">
        <f t="shared" si="225"/>
        <v>H</v>
      </c>
      <c r="LA34">
        <f t="shared" si="226"/>
        <v>1</v>
      </c>
      <c r="LB34" t="b">
        <f t="shared" ca="1" si="227"/>
        <v>0</v>
      </c>
      <c r="LC34" t="b">
        <f t="shared" ca="1" si="228"/>
        <v>1</v>
      </c>
      <c r="LD34" t="b">
        <f t="shared" ca="1" si="229"/>
        <v>0</v>
      </c>
      <c r="LE34">
        <f t="shared" si="230"/>
        <v>0</v>
      </c>
      <c r="LF34">
        <f t="shared" si="231"/>
        <v>0</v>
      </c>
      <c r="LG34">
        <f t="shared" si="232"/>
        <v>0</v>
      </c>
      <c r="LH34">
        <f t="shared" ca="1" si="233"/>
        <v>0</v>
      </c>
      <c r="LI34">
        <f t="shared" ca="1" si="234"/>
        <v>0</v>
      </c>
      <c r="LJ34">
        <f t="shared" ca="1" si="235"/>
        <v>1</v>
      </c>
      <c r="LK34" t="b">
        <f t="shared" si="236"/>
        <v>0</v>
      </c>
      <c r="LL34" s="6" t="b">
        <f t="shared" si="237"/>
        <v>0</v>
      </c>
      <c r="LM34">
        <f>MATCH(LM$2,Spieltage!$C$453:$C$461,0)+452</f>
        <v>458</v>
      </c>
      <c r="LN34" t="e">
        <f>MATCH(LM$2,Spieltage!$E$453:$E$461,0)+452</f>
        <v>#N/A</v>
      </c>
      <c r="LO34">
        <f t="shared" si="238"/>
        <v>458</v>
      </c>
      <c r="LP34">
        <f ca="1">INDIRECT("Spieltage!$F"&amp;'i2'!LO34)</f>
        <v>0</v>
      </c>
      <c r="LQ34" s="35" t="s">
        <v>12</v>
      </c>
      <c r="LR34" s="97">
        <f ca="1">INDIRECT("Spieltage!$H"&amp;'i2'!LO34)</f>
        <v>0</v>
      </c>
      <c r="LS34" t="str">
        <f t="shared" si="239"/>
        <v>H</v>
      </c>
      <c r="LT34">
        <f t="shared" si="240"/>
        <v>1</v>
      </c>
      <c r="LU34" t="b">
        <f t="shared" ca="1" si="241"/>
        <v>0</v>
      </c>
      <c r="LV34" t="b">
        <f t="shared" ca="1" si="242"/>
        <v>1</v>
      </c>
      <c r="LW34" t="b">
        <f t="shared" ca="1" si="243"/>
        <v>0</v>
      </c>
      <c r="LX34">
        <f t="shared" si="244"/>
        <v>0</v>
      </c>
      <c r="LY34">
        <f t="shared" si="245"/>
        <v>0</v>
      </c>
      <c r="LZ34">
        <f t="shared" si="246"/>
        <v>0</v>
      </c>
      <c r="MA34">
        <f t="shared" ca="1" si="247"/>
        <v>0</v>
      </c>
      <c r="MB34">
        <f t="shared" ca="1" si="248"/>
        <v>0</v>
      </c>
      <c r="MC34">
        <f t="shared" ca="1" si="249"/>
        <v>1</v>
      </c>
      <c r="MD34" t="b">
        <f t="shared" si="250"/>
        <v>0</v>
      </c>
      <c r="ME34" s="6" t="b">
        <f t="shared" si="251"/>
        <v>0</v>
      </c>
    </row>
    <row r="35" spans="1:343" x14ac:dyDescent="0.2">
      <c r="A35" s="104" t="s">
        <v>243</v>
      </c>
      <c r="B35">
        <f>MATCH(B$2,Spieltage!$C$468:$C$476,0)+467</f>
        <v>474</v>
      </c>
      <c r="C35" t="e">
        <f>MATCH(B$2,Spieltage!$E$468:$E$476,0)+467</f>
        <v>#N/A</v>
      </c>
      <c r="D35">
        <f t="shared" si="0"/>
        <v>474</v>
      </c>
      <c r="E35">
        <f ca="1">INDIRECT("Spieltage!$F"&amp;'i2'!D35)</f>
        <v>0</v>
      </c>
      <c r="F35" s="35" t="s">
        <v>12</v>
      </c>
      <c r="G35" s="97">
        <f ca="1">INDIRECT("Spieltage!$H"&amp;'i2'!D35)</f>
        <v>0</v>
      </c>
      <c r="H35" t="str">
        <f t="shared" si="1"/>
        <v>H</v>
      </c>
      <c r="I35">
        <f t="shared" si="2"/>
        <v>1</v>
      </c>
      <c r="J35" t="b">
        <f t="shared" ca="1" si="3"/>
        <v>0</v>
      </c>
      <c r="K35" t="b">
        <f t="shared" ca="1" si="4"/>
        <v>1</v>
      </c>
      <c r="L35" t="b">
        <f t="shared" ca="1" si="5"/>
        <v>0</v>
      </c>
      <c r="M35">
        <f t="shared" si="6"/>
        <v>0</v>
      </c>
      <c r="N35">
        <f t="shared" si="7"/>
        <v>0</v>
      </c>
      <c r="O35">
        <f t="shared" si="8"/>
        <v>0</v>
      </c>
      <c r="P35">
        <f t="shared" ca="1" si="9"/>
        <v>0</v>
      </c>
      <c r="Q35">
        <f t="shared" ca="1" si="10"/>
        <v>0</v>
      </c>
      <c r="R35">
        <f t="shared" ca="1" si="11"/>
        <v>1</v>
      </c>
      <c r="S35" t="b">
        <f t="shared" si="12"/>
        <v>0</v>
      </c>
      <c r="T35" s="6" t="b">
        <f t="shared" si="13"/>
        <v>0</v>
      </c>
      <c r="U35" t="e">
        <f>MATCH(U$2,Spieltage!$C$468:$C$476,0)+467</f>
        <v>#N/A</v>
      </c>
      <c r="V35">
        <f>MATCH(U$2,Spieltage!$E$468:$E$476,0)+467</f>
        <v>470</v>
      </c>
      <c r="W35">
        <f t="shared" si="14"/>
        <v>470</v>
      </c>
      <c r="X35">
        <f ca="1">INDIRECT("Spieltage!$F"&amp;'i2'!W35)</f>
        <v>0</v>
      </c>
      <c r="Y35" s="35" t="s">
        <v>12</v>
      </c>
      <c r="Z35" s="97">
        <f ca="1">INDIRECT("Spieltage!$H"&amp;'i2'!W35)</f>
        <v>0</v>
      </c>
      <c r="AA35" t="str">
        <f t="shared" si="15"/>
        <v>A</v>
      </c>
      <c r="AB35">
        <f t="shared" si="16"/>
        <v>2</v>
      </c>
      <c r="AC35">
        <f t="shared" si="17"/>
        <v>0</v>
      </c>
      <c r="AD35">
        <f t="shared" si="18"/>
        <v>0</v>
      </c>
      <c r="AE35">
        <f t="shared" si="19"/>
        <v>0</v>
      </c>
      <c r="AF35" t="b">
        <f t="shared" ca="1" si="20"/>
        <v>0</v>
      </c>
      <c r="AG35" t="b">
        <f t="shared" ca="1" si="21"/>
        <v>1</v>
      </c>
      <c r="AH35" t="b">
        <f t="shared" ca="1" si="22"/>
        <v>0</v>
      </c>
      <c r="AI35">
        <f t="shared" ca="1" si="23"/>
        <v>0</v>
      </c>
      <c r="AJ35" t="b">
        <f t="shared" si="24"/>
        <v>0</v>
      </c>
      <c r="AK35" t="b">
        <f t="shared" si="25"/>
        <v>0</v>
      </c>
      <c r="AL35">
        <f t="shared" ca="1" si="26"/>
        <v>0</v>
      </c>
      <c r="AM35" s="6">
        <f t="shared" ca="1" si="27"/>
        <v>1</v>
      </c>
      <c r="AN35">
        <f>MATCH(AN$2,Spieltage!$C$468:$C$476,0)+467</f>
        <v>470</v>
      </c>
      <c r="AO35" t="e">
        <f>MATCH(AN$2,Spieltage!$E$468:$E$476,0)+467</f>
        <v>#N/A</v>
      </c>
      <c r="AP35">
        <f t="shared" si="28"/>
        <v>470</v>
      </c>
      <c r="AQ35">
        <f ca="1">INDIRECT("Spieltage!$F"&amp;'i2'!AP35)</f>
        <v>0</v>
      </c>
      <c r="AR35" s="35" t="s">
        <v>12</v>
      </c>
      <c r="AS35" s="97">
        <f ca="1">INDIRECT("Spieltage!$H"&amp;'i2'!AP35)</f>
        <v>0</v>
      </c>
      <c r="AT35" t="str">
        <f t="shared" si="29"/>
        <v>H</v>
      </c>
      <c r="AU35">
        <f t="shared" si="30"/>
        <v>1</v>
      </c>
      <c r="AV35" t="b">
        <f t="shared" ca="1" si="31"/>
        <v>0</v>
      </c>
      <c r="AW35" t="b">
        <f t="shared" ca="1" si="32"/>
        <v>1</v>
      </c>
      <c r="AX35" t="b">
        <f t="shared" ca="1" si="33"/>
        <v>0</v>
      </c>
      <c r="AY35">
        <f t="shared" si="34"/>
        <v>0</v>
      </c>
      <c r="AZ35">
        <f t="shared" si="35"/>
        <v>0</v>
      </c>
      <c r="BA35">
        <f t="shared" si="36"/>
        <v>0</v>
      </c>
      <c r="BB35">
        <f t="shared" ca="1" si="37"/>
        <v>0</v>
      </c>
      <c r="BC35">
        <f t="shared" ca="1" si="38"/>
        <v>0</v>
      </c>
      <c r="BD35">
        <f t="shared" ca="1" si="39"/>
        <v>1</v>
      </c>
      <c r="BE35" t="b">
        <f t="shared" si="40"/>
        <v>0</v>
      </c>
      <c r="BF35" s="6" t="b">
        <f t="shared" si="41"/>
        <v>0</v>
      </c>
      <c r="BG35">
        <f>MATCH(BG$2,Spieltage!$C$468:$C$476,0)+467</f>
        <v>471</v>
      </c>
      <c r="BH35" t="e">
        <f>MATCH(BG$2,Spieltage!$E$468:$E$476,0)+467</f>
        <v>#N/A</v>
      </c>
      <c r="BI35">
        <f t="shared" si="42"/>
        <v>471</v>
      </c>
      <c r="BJ35">
        <f ca="1">INDIRECT("Spieltage!$F"&amp;'i2'!BI35)</f>
        <v>0</v>
      </c>
      <c r="BK35" s="35" t="s">
        <v>12</v>
      </c>
      <c r="BL35" s="97">
        <f ca="1">INDIRECT("Spieltage!$H"&amp;'i2'!BI35)</f>
        <v>0</v>
      </c>
      <c r="BM35" t="str">
        <f t="shared" si="43"/>
        <v>H</v>
      </c>
      <c r="BN35">
        <f t="shared" si="44"/>
        <v>1</v>
      </c>
      <c r="BO35" t="b">
        <f t="shared" ca="1" si="45"/>
        <v>0</v>
      </c>
      <c r="BP35" t="b">
        <f t="shared" ca="1" si="46"/>
        <v>1</v>
      </c>
      <c r="BQ35" t="b">
        <f t="shared" ca="1" si="47"/>
        <v>0</v>
      </c>
      <c r="BR35">
        <f t="shared" si="48"/>
        <v>0</v>
      </c>
      <c r="BS35">
        <f t="shared" si="49"/>
        <v>0</v>
      </c>
      <c r="BT35">
        <f t="shared" si="50"/>
        <v>0</v>
      </c>
      <c r="BU35">
        <f t="shared" ca="1" si="51"/>
        <v>0</v>
      </c>
      <c r="BV35">
        <f t="shared" ca="1" si="52"/>
        <v>0</v>
      </c>
      <c r="BW35">
        <f t="shared" ca="1" si="53"/>
        <v>1</v>
      </c>
      <c r="BX35" t="b">
        <f t="shared" si="54"/>
        <v>0</v>
      </c>
      <c r="BY35" s="6" t="b">
        <f t="shared" si="55"/>
        <v>0</v>
      </c>
      <c r="BZ35">
        <f>MATCH(BZ$2,Spieltage!$C$468:$C$476,0)+467</f>
        <v>476</v>
      </c>
      <c r="CA35" t="e">
        <f>MATCH(BZ$2,Spieltage!$E$468:$E$476,0)+467</f>
        <v>#N/A</v>
      </c>
      <c r="CB35">
        <f t="shared" si="56"/>
        <v>476</v>
      </c>
      <c r="CC35">
        <f ca="1">INDIRECT("Spieltage!$F"&amp;'i2'!CB35)</f>
        <v>0</v>
      </c>
      <c r="CD35" s="35" t="s">
        <v>12</v>
      </c>
      <c r="CE35" s="97">
        <f ca="1">INDIRECT("Spieltage!$H"&amp;'i2'!CB35)</f>
        <v>0</v>
      </c>
      <c r="CF35" t="str">
        <f t="shared" si="57"/>
        <v>H</v>
      </c>
      <c r="CG35">
        <f t="shared" si="58"/>
        <v>1</v>
      </c>
      <c r="CH35" t="b">
        <f t="shared" ca="1" si="59"/>
        <v>0</v>
      </c>
      <c r="CI35" t="b">
        <f t="shared" ca="1" si="60"/>
        <v>1</v>
      </c>
      <c r="CJ35" t="b">
        <f t="shared" ca="1" si="61"/>
        <v>0</v>
      </c>
      <c r="CK35">
        <f t="shared" si="62"/>
        <v>0</v>
      </c>
      <c r="CL35">
        <f t="shared" si="63"/>
        <v>0</v>
      </c>
      <c r="CM35">
        <f t="shared" si="64"/>
        <v>0</v>
      </c>
      <c r="CN35">
        <f t="shared" ca="1" si="65"/>
        <v>0</v>
      </c>
      <c r="CO35">
        <f t="shared" ca="1" si="66"/>
        <v>0</v>
      </c>
      <c r="CP35">
        <f t="shared" ca="1" si="67"/>
        <v>1</v>
      </c>
      <c r="CQ35" t="b">
        <f t="shared" si="68"/>
        <v>0</v>
      </c>
      <c r="CR35" s="6" t="b">
        <f t="shared" si="69"/>
        <v>0</v>
      </c>
      <c r="CS35">
        <f>MATCH(CS$2,Spieltage!$C$468:$C$476,0)+467</f>
        <v>473</v>
      </c>
      <c r="CT35" t="e">
        <f>MATCH(CS$2,Spieltage!$E$468:$E$476,0)+467</f>
        <v>#N/A</v>
      </c>
      <c r="CU35">
        <f t="shared" si="70"/>
        <v>473</v>
      </c>
      <c r="CV35">
        <f ca="1">INDIRECT("Spieltage!$F"&amp;'i2'!CU35)</f>
        <v>0</v>
      </c>
      <c r="CW35" s="35" t="s">
        <v>12</v>
      </c>
      <c r="CX35" s="97">
        <f ca="1">INDIRECT("Spieltage!$H"&amp;'i2'!CU35)</f>
        <v>0</v>
      </c>
      <c r="CY35" t="str">
        <f t="shared" si="71"/>
        <v>H</v>
      </c>
      <c r="CZ35">
        <f t="shared" si="72"/>
        <v>1</v>
      </c>
      <c r="DA35" t="b">
        <f t="shared" ca="1" si="73"/>
        <v>0</v>
      </c>
      <c r="DB35" t="b">
        <f t="shared" ca="1" si="74"/>
        <v>1</v>
      </c>
      <c r="DC35" t="b">
        <f t="shared" ca="1" si="75"/>
        <v>0</v>
      </c>
      <c r="DD35">
        <f t="shared" si="76"/>
        <v>0</v>
      </c>
      <c r="DE35">
        <f t="shared" si="77"/>
        <v>0</v>
      </c>
      <c r="DF35">
        <f t="shared" si="78"/>
        <v>0</v>
      </c>
      <c r="DG35">
        <f t="shared" ca="1" si="79"/>
        <v>0</v>
      </c>
      <c r="DH35">
        <f t="shared" ca="1" si="80"/>
        <v>0</v>
      </c>
      <c r="DI35">
        <f t="shared" ca="1" si="81"/>
        <v>1</v>
      </c>
      <c r="DJ35" t="b">
        <f t="shared" si="82"/>
        <v>0</v>
      </c>
      <c r="DK35" s="6" t="b">
        <f t="shared" si="83"/>
        <v>0</v>
      </c>
      <c r="DL35">
        <f>MATCH(DL$2,Spieltage!$C$468:$C$476,0)+467</f>
        <v>472</v>
      </c>
      <c r="DM35" t="e">
        <f>MATCH(DL$2,Spieltage!$E$468:$E$476,0)+467</f>
        <v>#N/A</v>
      </c>
      <c r="DN35">
        <f t="shared" si="84"/>
        <v>472</v>
      </c>
      <c r="DO35">
        <f ca="1">INDIRECT("Spieltage!$F"&amp;'i2'!DN35)</f>
        <v>0</v>
      </c>
      <c r="DP35" s="35" t="s">
        <v>12</v>
      </c>
      <c r="DQ35" s="97">
        <f ca="1">INDIRECT("Spieltage!$H"&amp;'i2'!DN35)</f>
        <v>0</v>
      </c>
      <c r="DR35" t="str">
        <f t="shared" si="85"/>
        <v>H</v>
      </c>
      <c r="DS35">
        <f t="shared" si="86"/>
        <v>1</v>
      </c>
      <c r="DT35" t="b">
        <f t="shared" ca="1" si="87"/>
        <v>0</v>
      </c>
      <c r="DU35" t="b">
        <f t="shared" ca="1" si="88"/>
        <v>1</v>
      </c>
      <c r="DV35" t="b">
        <f t="shared" ca="1" si="89"/>
        <v>0</v>
      </c>
      <c r="DW35">
        <f t="shared" si="90"/>
        <v>0</v>
      </c>
      <c r="DX35">
        <f t="shared" si="91"/>
        <v>0</v>
      </c>
      <c r="DY35">
        <f t="shared" si="92"/>
        <v>0</v>
      </c>
      <c r="DZ35">
        <f t="shared" ca="1" si="93"/>
        <v>0</v>
      </c>
      <c r="EA35">
        <f t="shared" ca="1" si="94"/>
        <v>0</v>
      </c>
      <c r="EB35">
        <f t="shared" ca="1" si="95"/>
        <v>1</v>
      </c>
      <c r="EC35" t="b">
        <f t="shared" si="96"/>
        <v>0</v>
      </c>
      <c r="ED35" s="6" t="b">
        <f t="shared" si="97"/>
        <v>0</v>
      </c>
      <c r="EE35" t="e">
        <f>MATCH(EE$2,Spieltage!$C$468:$C$476,0)+467</f>
        <v>#N/A</v>
      </c>
      <c r="EF35">
        <f>MATCH(EE$2,Spieltage!$E$468:$E$476,0)+467</f>
        <v>473</v>
      </c>
      <c r="EG35">
        <f t="shared" si="98"/>
        <v>473</v>
      </c>
      <c r="EH35">
        <f ca="1">INDIRECT("Spieltage!$F"&amp;'i2'!EG35)</f>
        <v>0</v>
      </c>
      <c r="EI35" s="35" t="s">
        <v>12</v>
      </c>
      <c r="EJ35" s="97">
        <f ca="1">INDIRECT("Spieltage!$H"&amp;'i2'!EG35)</f>
        <v>0</v>
      </c>
      <c r="EK35" t="str">
        <f t="shared" si="99"/>
        <v>A</v>
      </c>
      <c r="EL35">
        <f t="shared" si="100"/>
        <v>2</v>
      </c>
      <c r="EM35">
        <f t="shared" si="101"/>
        <v>0</v>
      </c>
      <c r="EN35">
        <f t="shared" si="102"/>
        <v>0</v>
      </c>
      <c r="EO35">
        <f t="shared" si="103"/>
        <v>0</v>
      </c>
      <c r="EP35" t="b">
        <f t="shared" ca="1" si="104"/>
        <v>0</v>
      </c>
      <c r="EQ35" t="b">
        <f t="shared" ca="1" si="105"/>
        <v>1</v>
      </c>
      <c r="ER35" t="b">
        <f t="shared" ca="1" si="106"/>
        <v>0</v>
      </c>
      <c r="ES35">
        <f t="shared" ca="1" si="107"/>
        <v>0</v>
      </c>
      <c r="ET35" t="b">
        <f t="shared" si="108"/>
        <v>0</v>
      </c>
      <c r="EU35" t="b">
        <f t="shared" si="109"/>
        <v>0</v>
      </c>
      <c r="EV35">
        <f t="shared" ca="1" si="110"/>
        <v>0</v>
      </c>
      <c r="EW35" s="6">
        <f t="shared" ca="1" si="111"/>
        <v>1</v>
      </c>
      <c r="EX35" t="e">
        <f>MATCH(EX$2,Spieltage!$C$468:$C$476,0)+467</f>
        <v>#N/A</v>
      </c>
      <c r="EY35">
        <f>MATCH(EX$2,Spieltage!$E$468:$E$476,0)+467</f>
        <v>469</v>
      </c>
      <c r="EZ35">
        <f t="shared" si="112"/>
        <v>469</v>
      </c>
      <c r="FA35">
        <f ca="1">INDIRECT("Spieltage!$F"&amp;'i2'!EZ35)</f>
        <v>0</v>
      </c>
      <c r="FB35" s="35" t="s">
        <v>12</v>
      </c>
      <c r="FC35" s="97">
        <f ca="1">INDIRECT("Spieltage!$H"&amp;'i2'!EZ35)</f>
        <v>0</v>
      </c>
      <c r="FD35" t="str">
        <f t="shared" si="113"/>
        <v>A</v>
      </c>
      <c r="FE35">
        <f t="shared" si="114"/>
        <v>2</v>
      </c>
      <c r="FF35">
        <f t="shared" si="115"/>
        <v>0</v>
      </c>
      <c r="FG35">
        <f t="shared" si="116"/>
        <v>0</v>
      </c>
      <c r="FH35">
        <f t="shared" si="117"/>
        <v>0</v>
      </c>
      <c r="FI35" t="b">
        <f t="shared" ca="1" si="118"/>
        <v>0</v>
      </c>
      <c r="FJ35" t="b">
        <f t="shared" ca="1" si="119"/>
        <v>1</v>
      </c>
      <c r="FK35" t="b">
        <f t="shared" ca="1" si="120"/>
        <v>0</v>
      </c>
      <c r="FL35">
        <f t="shared" ca="1" si="121"/>
        <v>0</v>
      </c>
      <c r="FM35" t="b">
        <f t="shared" si="122"/>
        <v>0</v>
      </c>
      <c r="FN35" t="b">
        <f t="shared" si="123"/>
        <v>0</v>
      </c>
      <c r="FO35">
        <f t="shared" ca="1" si="124"/>
        <v>0</v>
      </c>
      <c r="FP35" s="6">
        <f t="shared" ca="1" si="125"/>
        <v>1</v>
      </c>
      <c r="FQ35" t="e">
        <f>MATCH(FQ$2,Spieltage!$C$468:$C$476,0)+467</f>
        <v>#N/A</v>
      </c>
      <c r="FR35">
        <f>MATCH(FQ$2,Spieltage!$E$468:$E$476,0)+467</f>
        <v>475</v>
      </c>
      <c r="FS35">
        <f t="shared" si="126"/>
        <v>475</v>
      </c>
      <c r="FT35">
        <f ca="1">INDIRECT("Spieltage!$F"&amp;'i2'!FS35)</f>
        <v>0</v>
      </c>
      <c r="FU35" s="35" t="s">
        <v>12</v>
      </c>
      <c r="FV35" s="97">
        <f ca="1">INDIRECT("Spieltage!$H"&amp;'i2'!FS35)</f>
        <v>0</v>
      </c>
      <c r="FW35" t="str">
        <f t="shared" si="127"/>
        <v>A</v>
      </c>
      <c r="FX35">
        <f t="shared" si="128"/>
        <v>2</v>
      </c>
      <c r="FY35">
        <f t="shared" si="129"/>
        <v>0</v>
      </c>
      <c r="FZ35">
        <f t="shared" si="130"/>
        <v>0</v>
      </c>
      <c r="GA35">
        <f t="shared" si="131"/>
        <v>0</v>
      </c>
      <c r="GB35" t="b">
        <f t="shared" ca="1" si="132"/>
        <v>0</v>
      </c>
      <c r="GC35" t="b">
        <f t="shared" ca="1" si="133"/>
        <v>1</v>
      </c>
      <c r="GD35" t="b">
        <f t="shared" ca="1" si="134"/>
        <v>0</v>
      </c>
      <c r="GE35">
        <f t="shared" ca="1" si="135"/>
        <v>0</v>
      </c>
      <c r="GF35" t="b">
        <f t="shared" si="136"/>
        <v>0</v>
      </c>
      <c r="GG35" t="b">
        <f t="shared" si="137"/>
        <v>0</v>
      </c>
      <c r="GH35">
        <f t="shared" ca="1" si="138"/>
        <v>0</v>
      </c>
      <c r="GI35" s="6">
        <f t="shared" ca="1" si="139"/>
        <v>1</v>
      </c>
      <c r="GJ35">
        <f>MATCH(GJ$2,Spieltage!$C$468:$C$476,0)+467</f>
        <v>468</v>
      </c>
      <c r="GK35" t="e">
        <f>MATCH(GJ$2,Spieltage!$E$468:$E$476,0)+467</f>
        <v>#N/A</v>
      </c>
      <c r="GL35">
        <f t="shared" si="140"/>
        <v>468</v>
      </c>
      <c r="GM35">
        <f ca="1">INDIRECT("Spieltage!$F"&amp;'i2'!GL35)</f>
        <v>0</v>
      </c>
      <c r="GN35" s="35" t="s">
        <v>12</v>
      </c>
      <c r="GO35" s="97">
        <f ca="1">INDIRECT("Spieltage!$H"&amp;'i2'!GL35)</f>
        <v>0</v>
      </c>
      <c r="GP35" t="str">
        <f t="shared" si="141"/>
        <v>H</v>
      </c>
      <c r="GQ35">
        <f t="shared" si="142"/>
        <v>1</v>
      </c>
      <c r="GR35" t="b">
        <f t="shared" ca="1" si="143"/>
        <v>0</v>
      </c>
      <c r="GS35" t="b">
        <f t="shared" ca="1" si="144"/>
        <v>1</v>
      </c>
      <c r="GT35" t="b">
        <f t="shared" ca="1" si="145"/>
        <v>0</v>
      </c>
      <c r="GU35">
        <f t="shared" si="146"/>
        <v>0</v>
      </c>
      <c r="GV35">
        <f t="shared" si="147"/>
        <v>0</v>
      </c>
      <c r="GW35">
        <f t="shared" si="148"/>
        <v>0</v>
      </c>
      <c r="GX35">
        <f t="shared" ca="1" si="149"/>
        <v>0</v>
      </c>
      <c r="GY35">
        <f t="shared" ca="1" si="150"/>
        <v>0</v>
      </c>
      <c r="GZ35">
        <f t="shared" ca="1" si="151"/>
        <v>1</v>
      </c>
      <c r="HA35" t="b">
        <f t="shared" si="152"/>
        <v>0</v>
      </c>
      <c r="HB35" s="6" t="b">
        <f t="shared" si="153"/>
        <v>0</v>
      </c>
      <c r="HC35" t="e">
        <f>MATCH(HC$2,Spieltage!$C$468:$C$476,0)+467</f>
        <v>#N/A</v>
      </c>
      <c r="HD35">
        <f>MATCH(HC$2,Spieltage!$E$468:$E$476,0)+467</f>
        <v>476</v>
      </c>
      <c r="HE35">
        <f t="shared" si="154"/>
        <v>476</v>
      </c>
      <c r="HF35">
        <f ca="1">INDIRECT("Spieltage!$F"&amp;'i2'!HE35)</f>
        <v>0</v>
      </c>
      <c r="HG35" s="35" t="s">
        <v>12</v>
      </c>
      <c r="HH35" s="97">
        <f ca="1">INDIRECT("Spieltage!$H"&amp;'i2'!HE35)</f>
        <v>0</v>
      </c>
      <c r="HI35" t="str">
        <f t="shared" si="155"/>
        <v>A</v>
      </c>
      <c r="HJ35">
        <f t="shared" si="156"/>
        <v>2</v>
      </c>
      <c r="HK35">
        <f t="shared" si="157"/>
        <v>0</v>
      </c>
      <c r="HL35">
        <f t="shared" si="158"/>
        <v>0</v>
      </c>
      <c r="HM35">
        <f t="shared" si="159"/>
        <v>0</v>
      </c>
      <c r="HN35" t="b">
        <f t="shared" ca="1" si="160"/>
        <v>0</v>
      </c>
      <c r="HO35" t="b">
        <f t="shared" ca="1" si="161"/>
        <v>1</v>
      </c>
      <c r="HP35" t="b">
        <f t="shared" ca="1" si="162"/>
        <v>0</v>
      </c>
      <c r="HQ35">
        <f t="shared" ca="1" si="163"/>
        <v>0</v>
      </c>
      <c r="HR35" t="b">
        <f t="shared" si="164"/>
        <v>0</v>
      </c>
      <c r="HS35" t="b">
        <f t="shared" si="165"/>
        <v>0</v>
      </c>
      <c r="HT35">
        <f t="shared" ca="1" si="166"/>
        <v>0</v>
      </c>
      <c r="HU35" s="6">
        <f t="shared" ca="1" si="167"/>
        <v>1</v>
      </c>
      <c r="HV35">
        <f>MATCH(HV$2,Spieltage!$C$468:$C$476,0)+467</f>
        <v>475</v>
      </c>
      <c r="HW35" t="e">
        <f>MATCH(HV$2,Spieltage!$E$468:$E$476,0)+467</f>
        <v>#N/A</v>
      </c>
      <c r="HX35">
        <f t="shared" si="168"/>
        <v>475</v>
      </c>
      <c r="HY35">
        <f ca="1">INDIRECT("Spieltage!$F"&amp;'i2'!HX35)</f>
        <v>0</v>
      </c>
      <c r="HZ35" s="35" t="s">
        <v>12</v>
      </c>
      <c r="IA35" s="97">
        <f ca="1">INDIRECT("Spieltage!$H"&amp;'i2'!HX35)</f>
        <v>0</v>
      </c>
      <c r="IB35" t="str">
        <f t="shared" si="169"/>
        <v>H</v>
      </c>
      <c r="IC35">
        <f t="shared" si="170"/>
        <v>1</v>
      </c>
      <c r="ID35" t="b">
        <f t="shared" ca="1" si="171"/>
        <v>0</v>
      </c>
      <c r="IE35" t="b">
        <f t="shared" ca="1" si="172"/>
        <v>1</v>
      </c>
      <c r="IF35" t="b">
        <f t="shared" ca="1" si="173"/>
        <v>0</v>
      </c>
      <c r="IG35">
        <f t="shared" si="174"/>
        <v>0</v>
      </c>
      <c r="IH35">
        <f t="shared" si="175"/>
        <v>0</v>
      </c>
      <c r="II35">
        <f t="shared" si="176"/>
        <v>0</v>
      </c>
      <c r="IJ35">
        <f t="shared" ca="1" si="177"/>
        <v>0</v>
      </c>
      <c r="IK35">
        <f t="shared" ca="1" si="178"/>
        <v>0</v>
      </c>
      <c r="IL35">
        <f t="shared" ca="1" si="179"/>
        <v>1</v>
      </c>
      <c r="IM35" t="b">
        <f t="shared" si="180"/>
        <v>0</v>
      </c>
      <c r="IN35" s="6" t="b">
        <f t="shared" si="181"/>
        <v>0</v>
      </c>
      <c r="IO35" t="e">
        <f>MATCH(IO$2,Spieltage!$C$468:$C$476,0)+467</f>
        <v>#N/A</v>
      </c>
      <c r="IP35">
        <f>MATCH(IO$2,Spieltage!$E$468:$E$476,0)+467</f>
        <v>471</v>
      </c>
      <c r="IQ35">
        <f t="shared" si="182"/>
        <v>471</v>
      </c>
      <c r="IR35">
        <f ca="1">INDIRECT("Spieltage!$F"&amp;'i2'!IQ35)</f>
        <v>0</v>
      </c>
      <c r="IS35" s="35" t="s">
        <v>12</v>
      </c>
      <c r="IT35" s="97">
        <f ca="1">INDIRECT("Spieltage!$H"&amp;'i2'!IQ35)</f>
        <v>0</v>
      </c>
      <c r="IU35" t="str">
        <f t="shared" si="183"/>
        <v>A</v>
      </c>
      <c r="IV35">
        <f t="shared" si="184"/>
        <v>2</v>
      </c>
      <c r="IW35">
        <f t="shared" si="185"/>
        <v>0</v>
      </c>
      <c r="IX35">
        <f t="shared" si="186"/>
        <v>0</v>
      </c>
      <c r="IY35">
        <f t="shared" si="187"/>
        <v>0</v>
      </c>
      <c r="IZ35" t="b">
        <f t="shared" ca="1" si="188"/>
        <v>0</v>
      </c>
      <c r="JA35" t="b">
        <f t="shared" ca="1" si="189"/>
        <v>1</v>
      </c>
      <c r="JB35" t="b">
        <f t="shared" ca="1" si="190"/>
        <v>0</v>
      </c>
      <c r="JC35">
        <f t="shared" ca="1" si="191"/>
        <v>0</v>
      </c>
      <c r="JD35" t="b">
        <f t="shared" si="192"/>
        <v>0</v>
      </c>
      <c r="JE35" t="b">
        <f t="shared" si="193"/>
        <v>0</v>
      </c>
      <c r="JF35">
        <f t="shared" ca="1" si="194"/>
        <v>0</v>
      </c>
      <c r="JG35" s="6">
        <f t="shared" ca="1" si="195"/>
        <v>1</v>
      </c>
      <c r="JH35">
        <f>MATCH(JH$2,Spieltage!$C$468:$C$476,0)+467</f>
        <v>469</v>
      </c>
      <c r="JI35" t="e">
        <f>MATCH(JH$2,Spieltage!$E$468:$E$476,0)+467</f>
        <v>#N/A</v>
      </c>
      <c r="JJ35">
        <f t="shared" si="196"/>
        <v>469</v>
      </c>
      <c r="JK35">
        <f ca="1">INDIRECT("Spieltage!$F"&amp;'i2'!JJ35)</f>
        <v>0</v>
      </c>
      <c r="JL35" s="35" t="s">
        <v>12</v>
      </c>
      <c r="JM35" s="97">
        <f ca="1">INDIRECT("Spieltage!$H"&amp;'i2'!JJ35)</f>
        <v>0</v>
      </c>
      <c r="JN35" t="str">
        <f t="shared" si="197"/>
        <v>H</v>
      </c>
      <c r="JO35">
        <f t="shared" si="198"/>
        <v>1</v>
      </c>
      <c r="JP35" t="b">
        <f t="shared" ca="1" si="199"/>
        <v>0</v>
      </c>
      <c r="JQ35" t="b">
        <f t="shared" ca="1" si="200"/>
        <v>1</v>
      </c>
      <c r="JR35" t="b">
        <f t="shared" ca="1" si="201"/>
        <v>0</v>
      </c>
      <c r="JS35">
        <f t="shared" si="202"/>
        <v>0</v>
      </c>
      <c r="JT35">
        <f t="shared" si="203"/>
        <v>0</v>
      </c>
      <c r="JU35">
        <f t="shared" si="204"/>
        <v>0</v>
      </c>
      <c r="JV35">
        <f t="shared" ca="1" si="205"/>
        <v>0</v>
      </c>
      <c r="JW35">
        <f t="shared" ca="1" si="206"/>
        <v>0</v>
      </c>
      <c r="JX35">
        <f t="shared" ca="1" si="207"/>
        <v>1</v>
      </c>
      <c r="JY35" t="b">
        <f t="shared" si="208"/>
        <v>0</v>
      </c>
      <c r="JZ35" s="6" t="b">
        <f t="shared" si="209"/>
        <v>0</v>
      </c>
      <c r="KA35" t="e">
        <f>MATCH(KA$2,Spieltage!$C$468:$C$476,0)+467</f>
        <v>#N/A</v>
      </c>
      <c r="KB35">
        <f>MATCH(KA$2,Spieltage!$E$468:$E$476,0)+467</f>
        <v>468</v>
      </c>
      <c r="KC35">
        <f t="shared" si="210"/>
        <v>468</v>
      </c>
      <c r="KD35">
        <f ca="1">INDIRECT("Spieltage!$F"&amp;'i2'!KC35)</f>
        <v>0</v>
      </c>
      <c r="KE35" s="35" t="s">
        <v>12</v>
      </c>
      <c r="KF35" s="97">
        <f ca="1">INDIRECT("Spieltage!$H"&amp;'i2'!KC35)</f>
        <v>0</v>
      </c>
      <c r="KG35" t="str">
        <f t="shared" si="211"/>
        <v>A</v>
      </c>
      <c r="KH35">
        <f t="shared" si="212"/>
        <v>2</v>
      </c>
      <c r="KI35">
        <f t="shared" si="213"/>
        <v>0</v>
      </c>
      <c r="KJ35">
        <f t="shared" si="214"/>
        <v>0</v>
      </c>
      <c r="KK35">
        <f t="shared" si="215"/>
        <v>0</v>
      </c>
      <c r="KL35" t="b">
        <f t="shared" ca="1" si="216"/>
        <v>0</v>
      </c>
      <c r="KM35" t="b">
        <f t="shared" ca="1" si="217"/>
        <v>1</v>
      </c>
      <c r="KN35" t="b">
        <f t="shared" ca="1" si="218"/>
        <v>0</v>
      </c>
      <c r="KO35">
        <f t="shared" ca="1" si="219"/>
        <v>0</v>
      </c>
      <c r="KP35" t="b">
        <f t="shared" si="220"/>
        <v>0</v>
      </c>
      <c r="KQ35" t="b">
        <f t="shared" si="221"/>
        <v>0</v>
      </c>
      <c r="KR35">
        <f t="shared" ca="1" si="222"/>
        <v>0</v>
      </c>
      <c r="KS35" s="6">
        <f t="shared" ca="1" si="223"/>
        <v>1</v>
      </c>
      <c r="KT35" t="e">
        <f>MATCH(KT$2,Spieltage!$C$468:$C$476,0)+467</f>
        <v>#N/A</v>
      </c>
      <c r="KU35">
        <f>MATCH(KT$2,Spieltage!$E$468:$E$476,0)+467</f>
        <v>474</v>
      </c>
      <c r="KV35">
        <f t="shared" si="224"/>
        <v>474</v>
      </c>
      <c r="KW35">
        <f ca="1">INDIRECT("Spieltage!$F"&amp;'i2'!KV35)</f>
        <v>0</v>
      </c>
      <c r="KX35" s="35" t="s">
        <v>12</v>
      </c>
      <c r="KY35" s="97">
        <f ca="1">INDIRECT("Spieltage!$H"&amp;'i2'!KV35)</f>
        <v>0</v>
      </c>
      <c r="KZ35" t="str">
        <f t="shared" si="225"/>
        <v>A</v>
      </c>
      <c r="LA35">
        <f t="shared" si="226"/>
        <v>2</v>
      </c>
      <c r="LB35">
        <f t="shared" si="227"/>
        <v>0</v>
      </c>
      <c r="LC35">
        <f t="shared" si="228"/>
        <v>0</v>
      </c>
      <c r="LD35">
        <f t="shared" si="229"/>
        <v>0</v>
      </c>
      <c r="LE35" t="b">
        <f t="shared" ca="1" si="230"/>
        <v>0</v>
      </c>
      <c r="LF35" t="b">
        <f t="shared" ca="1" si="231"/>
        <v>1</v>
      </c>
      <c r="LG35" t="b">
        <f t="shared" ca="1" si="232"/>
        <v>0</v>
      </c>
      <c r="LH35">
        <f t="shared" ca="1" si="233"/>
        <v>0</v>
      </c>
      <c r="LI35" t="b">
        <f t="shared" si="234"/>
        <v>0</v>
      </c>
      <c r="LJ35" t="b">
        <f t="shared" si="235"/>
        <v>0</v>
      </c>
      <c r="LK35">
        <f t="shared" ca="1" si="236"/>
        <v>0</v>
      </c>
      <c r="LL35" s="6">
        <f t="shared" ca="1" si="237"/>
        <v>1</v>
      </c>
      <c r="LM35" t="e">
        <f>MATCH(LM$2,Spieltage!$C$468:$C$476,0)+467</f>
        <v>#N/A</v>
      </c>
      <c r="LN35">
        <f>MATCH(LM$2,Spieltage!$E$468:$E$476,0)+467</f>
        <v>472</v>
      </c>
      <c r="LO35">
        <f t="shared" si="238"/>
        <v>472</v>
      </c>
      <c r="LP35">
        <f ca="1">INDIRECT("Spieltage!$F"&amp;'i2'!LO35)</f>
        <v>0</v>
      </c>
      <c r="LQ35" s="35" t="s">
        <v>12</v>
      </c>
      <c r="LR35" s="97">
        <f ca="1">INDIRECT("Spieltage!$H"&amp;'i2'!LO35)</f>
        <v>0</v>
      </c>
      <c r="LS35" t="str">
        <f t="shared" si="239"/>
        <v>A</v>
      </c>
      <c r="LT35">
        <f t="shared" si="240"/>
        <v>2</v>
      </c>
      <c r="LU35">
        <f t="shared" si="241"/>
        <v>0</v>
      </c>
      <c r="LV35">
        <f t="shared" si="242"/>
        <v>0</v>
      </c>
      <c r="LW35">
        <f t="shared" si="243"/>
        <v>0</v>
      </c>
      <c r="LX35" t="b">
        <f t="shared" ca="1" si="244"/>
        <v>0</v>
      </c>
      <c r="LY35" t="b">
        <f t="shared" ca="1" si="245"/>
        <v>1</v>
      </c>
      <c r="LZ35" t="b">
        <f t="shared" ca="1" si="246"/>
        <v>0</v>
      </c>
      <c r="MA35">
        <f t="shared" ca="1" si="247"/>
        <v>0</v>
      </c>
      <c r="MB35" t="b">
        <f t="shared" si="248"/>
        <v>0</v>
      </c>
      <c r="MC35" t="b">
        <f t="shared" si="249"/>
        <v>0</v>
      </c>
      <c r="MD35">
        <f t="shared" ca="1" si="250"/>
        <v>0</v>
      </c>
      <c r="ME35" s="6">
        <f t="shared" ca="1" si="251"/>
        <v>1</v>
      </c>
    </row>
    <row r="36" spans="1:343" x14ac:dyDescent="0.2">
      <c r="A36" s="104" t="s">
        <v>244</v>
      </c>
      <c r="B36" t="e">
        <f>MATCH(B$2,Spieltage!$C$483:$C$491,0)+482</f>
        <v>#N/A</v>
      </c>
      <c r="C36">
        <f>MATCH(B$2,Spieltage!$E$483:$E$491,0)+482</f>
        <v>483</v>
      </c>
      <c r="D36">
        <f t="shared" si="0"/>
        <v>483</v>
      </c>
      <c r="E36">
        <f ca="1">INDIRECT("Spieltage!$F"&amp;'i2'!D36)</f>
        <v>0</v>
      </c>
      <c r="F36" s="35" t="s">
        <v>12</v>
      </c>
      <c r="G36" s="97">
        <f ca="1">INDIRECT("Spieltage!$H"&amp;'i2'!D36)</f>
        <v>0</v>
      </c>
      <c r="H36" t="str">
        <f t="shared" si="1"/>
        <v>A</v>
      </c>
      <c r="I36">
        <f t="shared" si="2"/>
        <v>2</v>
      </c>
      <c r="J36">
        <f t="shared" si="3"/>
        <v>0</v>
      </c>
      <c r="K36">
        <f t="shared" si="4"/>
        <v>0</v>
      </c>
      <c r="L36">
        <f t="shared" si="5"/>
        <v>0</v>
      </c>
      <c r="M36" t="b">
        <f t="shared" ca="1" si="6"/>
        <v>0</v>
      </c>
      <c r="N36" t="b">
        <f t="shared" ca="1" si="7"/>
        <v>1</v>
      </c>
      <c r="O36" t="b">
        <f t="shared" ca="1" si="8"/>
        <v>0</v>
      </c>
      <c r="P36">
        <f t="shared" ca="1" si="9"/>
        <v>0</v>
      </c>
      <c r="Q36" t="b">
        <f t="shared" si="10"/>
        <v>0</v>
      </c>
      <c r="R36" t="b">
        <f t="shared" si="11"/>
        <v>0</v>
      </c>
      <c r="S36">
        <f t="shared" ca="1" si="12"/>
        <v>0</v>
      </c>
      <c r="T36" s="6">
        <f t="shared" ca="1" si="13"/>
        <v>1</v>
      </c>
      <c r="U36">
        <f>MATCH(U$2,Spieltage!$C$483:$C$491,0)+482</f>
        <v>490</v>
      </c>
      <c r="V36" t="e">
        <f>MATCH(U$2,Spieltage!$E$483:$E$491,0)+482</f>
        <v>#N/A</v>
      </c>
      <c r="W36">
        <f t="shared" si="14"/>
        <v>490</v>
      </c>
      <c r="X36">
        <f ca="1">INDIRECT("Spieltage!$F"&amp;'i2'!W36)</f>
        <v>0</v>
      </c>
      <c r="Y36" s="35" t="s">
        <v>12</v>
      </c>
      <c r="Z36" s="97">
        <f ca="1">INDIRECT("Spieltage!$H"&amp;'i2'!W36)</f>
        <v>0</v>
      </c>
      <c r="AA36" t="str">
        <f t="shared" si="15"/>
        <v>H</v>
      </c>
      <c r="AB36">
        <f t="shared" si="16"/>
        <v>1</v>
      </c>
      <c r="AC36" t="b">
        <f t="shared" ca="1" si="17"/>
        <v>0</v>
      </c>
      <c r="AD36" t="b">
        <f t="shared" ca="1" si="18"/>
        <v>1</v>
      </c>
      <c r="AE36" t="b">
        <f t="shared" ca="1" si="19"/>
        <v>0</v>
      </c>
      <c r="AF36">
        <f t="shared" si="20"/>
        <v>0</v>
      </c>
      <c r="AG36">
        <f t="shared" si="21"/>
        <v>0</v>
      </c>
      <c r="AH36">
        <f t="shared" si="22"/>
        <v>0</v>
      </c>
      <c r="AI36">
        <f t="shared" ca="1" si="23"/>
        <v>0</v>
      </c>
      <c r="AJ36">
        <f t="shared" ca="1" si="24"/>
        <v>0</v>
      </c>
      <c r="AK36">
        <f t="shared" ca="1" si="25"/>
        <v>1</v>
      </c>
      <c r="AL36" t="b">
        <f t="shared" si="26"/>
        <v>0</v>
      </c>
      <c r="AM36" s="6" t="b">
        <f t="shared" si="27"/>
        <v>0</v>
      </c>
      <c r="AN36" t="e">
        <f>MATCH(AN$2,Spieltage!$C$483:$C$491,0)+482</f>
        <v>#N/A</v>
      </c>
      <c r="AO36">
        <f>MATCH(AN$2,Spieltage!$E$483:$E$491,0)+482</f>
        <v>484</v>
      </c>
      <c r="AP36">
        <f t="shared" si="28"/>
        <v>484</v>
      </c>
      <c r="AQ36">
        <f ca="1">INDIRECT("Spieltage!$F"&amp;'i2'!AP36)</f>
        <v>0</v>
      </c>
      <c r="AR36" s="35" t="s">
        <v>12</v>
      </c>
      <c r="AS36" s="97">
        <f ca="1">INDIRECT("Spieltage!$H"&amp;'i2'!AP36)</f>
        <v>0</v>
      </c>
      <c r="AT36" t="str">
        <f t="shared" si="29"/>
        <v>A</v>
      </c>
      <c r="AU36">
        <f t="shared" si="30"/>
        <v>2</v>
      </c>
      <c r="AV36">
        <f t="shared" si="31"/>
        <v>0</v>
      </c>
      <c r="AW36">
        <f t="shared" si="32"/>
        <v>0</v>
      </c>
      <c r="AX36">
        <f t="shared" si="33"/>
        <v>0</v>
      </c>
      <c r="AY36" t="b">
        <f t="shared" ca="1" si="34"/>
        <v>0</v>
      </c>
      <c r="AZ36" t="b">
        <f t="shared" ca="1" si="35"/>
        <v>1</v>
      </c>
      <c r="BA36" t="b">
        <f t="shared" ca="1" si="36"/>
        <v>0</v>
      </c>
      <c r="BB36">
        <f t="shared" ca="1" si="37"/>
        <v>0</v>
      </c>
      <c r="BC36" t="b">
        <f t="shared" si="38"/>
        <v>0</v>
      </c>
      <c r="BD36" t="b">
        <f t="shared" si="39"/>
        <v>0</v>
      </c>
      <c r="BE36">
        <f t="shared" ca="1" si="40"/>
        <v>0</v>
      </c>
      <c r="BF36" s="6">
        <f t="shared" ca="1" si="41"/>
        <v>1</v>
      </c>
      <c r="BG36">
        <f>MATCH(BG$2,Spieltage!$C$483:$C$491,0)+482</f>
        <v>487</v>
      </c>
      <c r="BH36" t="e">
        <f>MATCH(BG$2,Spieltage!$E$483:$E$491,0)+482</f>
        <v>#N/A</v>
      </c>
      <c r="BI36">
        <f t="shared" si="42"/>
        <v>487</v>
      </c>
      <c r="BJ36">
        <f ca="1">INDIRECT("Spieltage!$F"&amp;'i2'!BI36)</f>
        <v>0</v>
      </c>
      <c r="BK36" s="35" t="s">
        <v>12</v>
      </c>
      <c r="BL36" s="97">
        <f ca="1">INDIRECT("Spieltage!$H"&amp;'i2'!BI36)</f>
        <v>0</v>
      </c>
      <c r="BM36" t="str">
        <f t="shared" si="43"/>
        <v>H</v>
      </c>
      <c r="BN36">
        <f t="shared" si="44"/>
        <v>1</v>
      </c>
      <c r="BO36" t="b">
        <f t="shared" ca="1" si="45"/>
        <v>0</v>
      </c>
      <c r="BP36" t="b">
        <f t="shared" ca="1" si="46"/>
        <v>1</v>
      </c>
      <c r="BQ36" t="b">
        <f t="shared" ca="1" si="47"/>
        <v>0</v>
      </c>
      <c r="BR36">
        <f t="shared" si="48"/>
        <v>0</v>
      </c>
      <c r="BS36">
        <f t="shared" si="49"/>
        <v>0</v>
      </c>
      <c r="BT36">
        <f t="shared" si="50"/>
        <v>0</v>
      </c>
      <c r="BU36">
        <f t="shared" ca="1" si="51"/>
        <v>0</v>
      </c>
      <c r="BV36">
        <f t="shared" ca="1" si="52"/>
        <v>0</v>
      </c>
      <c r="BW36">
        <f t="shared" ca="1" si="53"/>
        <v>1</v>
      </c>
      <c r="BX36" t="b">
        <f t="shared" si="54"/>
        <v>0</v>
      </c>
      <c r="BY36" s="6" t="b">
        <f t="shared" si="55"/>
        <v>0</v>
      </c>
      <c r="BZ36" t="e">
        <f>MATCH(BZ$2,Spieltage!$C$483:$C$491,0)+482</f>
        <v>#N/A</v>
      </c>
      <c r="CA36">
        <f>MATCH(BZ$2,Spieltage!$E$483:$E$491,0)+482</f>
        <v>485</v>
      </c>
      <c r="CB36">
        <f t="shared" si="56"/>
        <v>485</v>
      </c>
      <c r="CC36">
        <f ca="1">INDIRECT("Spieltage!$F"&amp;'i2'!CB36)</f>
        <v>0</v>
      </c>
      <c r="CD36" s="35" t="s">
        <v>12</v>
      </c>
      <c r="CE36" s="97">
        <f ca="1">INDIRECT("Spieltage!$H"&amp;'i2'!CB36)</f>
        <v>0</v>
      </c>
      <c r="CF36" t="str">
        <f t="shared" si="57"/>
        <v>A</v>
      </c>
      <c r="CG36">
        <f t="shared" si="58"/>
        <v>2</v>
      </c>
      <c r="CH36">
        <f t="shared" si="59"/>
        <v>0</v>
      </c>
      <c r="CI36">
        <f t="shared" si="60"/>
        <v>0</v>
      </c>
      <c r="CJ36">
        <f t="shared" si="61"/>
        <v>0</v>
      </c>
      <c r="CK36" t="b">
        <f t="shared" ca="1" si="62"/>
        <v>0</v>
      </c>
      <c r="CL36" t="b">
        <f t="shared" ca="1" si="63"/>
        <v>1</v>
      </c>
      <c r="CM36" t="b">
        <f t="shared" ca="1" si="64"/>
        <v>0</v>
      </c>
      <c r="CN36">
        <f t="shared" ca="1" si="65"/>
        <v>0</v>
      </c>
      <c r="CO36" t="b">
        <f t="shared" si="66"/>
        <v>0</v>
      </c>
      <c r="CP36" t="b">
        <f t="shared" si="67"/>
        <v>0</v>
      </c>
      <c r="CQ36">
        <f t="shared" ca="1" si="68"/>
        <v>0</v>
      </c>
      <c r="CR36" s="6">
        <f t="shared" ca="1" si="69"/>
        <v>1</v>
      </c>
      <c r="CS36" t="e">
        <f>MATCH(CS$2,Spieltage!$C$483:$C$491,0)+482</f>
        <v>#N/A</v>
      </c>
      <c r="CT36">
        <f>MATCH(CS$2,Spieltage!$E$483:$E$491,0)+482</f>
        <v>487</v>
      </c>
      <c r="CU36">
        <f t="shared" si="70"/>
        <v>487</v>
      </c>
      <c r="CV36">
        <f ca="1">INDIRECT("Spieltage!$F"&amp;'i2'!CU36)</f>
        <v>0</v>
      </c>
      <c r="CW36" s="35" t="s">
        <v>12</v>
      </c>
      <c r="CX36" s="97">
        <f ca="1">INDIRECT("Spieltage!$H"&amp;'i2'!CU36)</f>
        <v>0</v>
      </c>
      <c r="CY36" t="str">
        <f t="shared" si="71"/>
        <v>A</v>
      </c>
      <c r="CZ36">
        <f t="shared" si="72"/>
        <v>2</v>
      </c>
      <c r="DA36">
        <f t="shared" si="73"/>
        <v>0</v>
      </c>
      <c r="DB36">
        <f t="shared" si="74"/>
        <v>0</v>
      </c>
      <c r="DC36">
        <f t="shared" si="75"/>
        <v>0</v>
      </c>
      <c r="DD36" t="b">
        <f t="shared" ca="1" si="76"/>
        <v>0</v>
      </c>
      <c r="DE36" t="b">
        <f t="shared" ca="1" si="77"/>
        <v>1</v>
      </c>
      <c r="DF36" t="b">
        <f t="shared" ca="1" si="78"/>
        <v>0</v>
      </c>
      <c r="DG36">
        <f t="shared" ca="1" si="79"/>
        <v>0</v>
      </c>
      <c r="DH36" t="b">
        <f t="shared" si="80"/>
        <v>0</v>
      </c>
      <c r="DI36" t="b">
        <f t="shared" si="81"/>
        <v>0</v>
      </c>
      <c r="DJ36">
        <f t="shared" ca="1" si="82"/>
        <v>0</v>
      </c>
      <c r="DK36" s="6">
        <f t="shared" ca="1" si="83"/>
        <v>1</v>
      </c>
      <c r="DL36" t="e">
        <f>MATCH(DL$2,Spieltage!$C$483:$C$491,0)+482</f>
        <v>#N/A</v>
      </c>
      <c r="DM36">
        <f>MATCH(DL$2,Spieltage!$E$483:$E$491,0)+482</f>
        <v>486</v>
      </c>
      <c r="DN36">
        <f t="shared" si="84"/>
        <v>486</v>
      </c>
      <c r="DO36">
        <f ca="1">INDIRECT("Spieltage!$F"&amp;'i2'!DN36)</f>
        <v>0</v>
      </c>
      <c r="DP36" s="35" t="s">
        <v>12</v>
      </c>
      <c r="DQ36" s="97">
        <f ca="1">INDIRECT("Spieltage!$H"&amp;'i2'!DN36)</f>
        <v>0</v>
      </c>
      <c r="DR36" t="str">
        <f t="shared" si="85"/>
        <v>A</v>
      </c>
      <c r="DS36">
        <f t="shared" si="86"/>
        <v>2</v>
      </c>
      <c r="DT36">
        <f t="shared" si="87"/>
        <v>0</v>
      </c>
      <c r="DU36">
        <f t="shared" si="88"/>
        <v>0</v>
      </c>
      <c r="DV36">
        <f t="shared" si="89"/>
        <v>0</v>
      </c>
      <c r="DW36" t="b">
        <f t="shared" ca="1" si="90"/>
        <v>0</v>
      </c>
      <c r="DX36" t="b">
        <f t="shared" ca="1" si="91"/>
        <v>1</v>
      </c>
      <c r="DY36" t="b">
        <f t="shared" ca="1" si="92"/>
        <v>0</v>
      </c>
      <c r="DZ36">
        <f t="shared" ca="1" si="93"/>
        <v>0</v>
      </c>
      <c r="EA36" t="b">
        <f t="shared" si="94"/>
        <v>0</v>
      </c>
      <c r="EB36" t="b">
        <f t="shared" si="95"/>
        <v>0</v>
      </c>
      <c r="EC36">
        <f t="shared" ca="1" si="96"/>
        <v>0</v>
      </c>
      <c r="ED36" s="6">
        <f t="shared" ca="1" si="97"/>
        <v>1</v>
      </c>
      <c r="EE36">
        <f>MATCH(EE$2,Spieltage!$C$483:$C$491,0)+482</f>
        <v>488</v>
      </c>
      <c r="EF36" t="e">
        <f>MATCH(EE$2,Spieltage!$E$483:$E$491,0)+482</f>
        <v>#N/A</v>
      </c>
      <c r="EG36">
        <f t="shared" si="98"/>
        <v>488</v>
      </c>
      <c r="EH36">
        <f ca="1">INDIRECT("Spieltage!$F"&amp;'i2'!EG36)</f>
        <v>0</v>
      </c>
      <c r="EI36" s="35" t="s">
        <v>12</v>
      </c>
      <c r="EJ36" s="97">
        <f ca="1">INDIRECT("Spieltage!$H"&amp;'i2'!EG36)</f>
        <v>0</v>
      </c>
      <c r="EK36" t="str">
        <f t="shared" si="99"/>
        <v>H</v>
      </c>
      <c r="EL36">
        <f t="shared" si="100"/>
        <v>1</v>
      </c>
      <c r="EM36" t="b">
        <f t="shared" ca="1" si="101"/>
        <v>0</v>
      </c>
      <c r="EN36" t="b">
        <f t="shared" ca="1" si="102"/>
        <v>1</v>
      </c>
      <c r="EO36" t="b">
        <f t="shared" ca="1" si="103"/>
        <v>0</v>
      </c>
      <c r="EP36">
        <f t="shared" si="104"/>
        <v>0</v>
      </c>
      <c r="EQ36">
        <f t="shared" si="105"/>
        <v>0</v>
      </c>
      <c r="ER36">
        <f t="shared" si="106"/>
        <v>0</v>
      </c>
      <c r="ES36">
        <f t="shared" ca="1" si="107"/>
        <v>0</v>
      </c>
      <c r="ET36">
        <f t="shared" ca="1" si="108"/>
        <v>0</v>
      </c>
      <c r="EU36">
        <f t="shared" ca="1" si="109"/>
        <v>1</v>
      </c>
      <c r="EV36" t="b">
        <f t="shared" si="110"/>
        <v>0</v>
      </c>
      <c r="EW36" s="6" t="b">
        <f t="shared" si="111"/>
        <v>0</v>
      </c>
      <c r="EX36">
        <f>MATCH(EX$2,Spieltage!$C$483:$C$491,0)+482</f>
        <v>489</v>
      </c>
      <c r="EY36" t="e">
        <f>MATCH(EX$2,Spieltage!$E$483:$E$491,0)+482</f>
        <v>#N/A</v>
      </c>
      <c r="EZ36">
        <f t="shared" si="112"/>
        <v>489</v>
      </c>
      <c r="FA36">
        <f ca="1">INDIRECT("Spieltage!$F"&amp;'i2'!EZ36)</f>
        <v>0</v>
      </c>
      <c r="FB36" s="35" t="s">
        <v>12</v>
      </c>
      <c r="FC36" s="97">
        <f ca="1">INDIRECT("Spieltage!$H"&amp;'i2'!EZ36)</f>
        <v>0</v>
      </c>
      <c r="FD36" t="str">
        <f t="shared" si="113"/>
        <v>H</v>
      </c>
      <c r="FE36">
        <f t="shared" si="114"/>
        <v>1</v>
      </c>
      <c r="FF36" t="b">
        <f t="shared" ca="1" si="115"/>
        <v>0</v>
      </c>
      <c r="FG36" t="b">
        <f t="shared" ca="1" si="116"/>
        <v>1</v>
      </c>
      <c r="FH36" t="b">
        <f t="shared" ca="1" si="117"/>
        <v>0</v>
      </c>
      <c r="FI36">
        <f t="shared" si="118"/>
        <v>0</v>
      </c>
      <c r="FJ36">
        <f t="shared" si="119"/>
        <v>0</v>
      </c>
      <c r="FK36">
        <f t="shared" si="120"/>
        <v>0</v>
      </c>
      <c r="FL36">
        <f t="shared" ca="1" si="121"/>
        <v>0</v>
      </c>
      <c r="FM36">
        <f t="shared" ca="1" si="122"/>
        <v>0</v>
      </c>
      <c r="FN36">
        <f t="shared" ca="1" si="123"/>
        <v>1</v>
      </c>
      <c r="FO36" t="b">
        <f t="shared" si="124"/>
        <v>0</v>
      </c>
      <c r="FP36" s="6" t="b">
        <f t="shared" si="125"/>
        <v>0</v>
      </c>
      <c r="FQ36">
        <f>MATCH(FQ$2,Spieltage!$C$483:$C$491,0)+482</f>
        <v>491</v>
      </c>
      <c r="FR36" t="e">
        <f>MATCH(FQ$2,Spieltage!$E$483:$E$491,0)+482</f>
        <v>#N/A</v>
      </c>
      <c r="FS36">
        <f t="shared" si="126"/>
        <v>491</v>
      </c>
      <c r="FT36">
        <f ca="1">INDIRECT("Spieltage!$F"&amp;'i2'!FS36)</f>
        <v>0</v>
      </c>
      <c r="FU36" s="35" t="s">
        <v>12</v>
      </c>
      <c r="FV36" s="97">
        <f ca="1">INDIRECT("Spieltage!$H"&amp;'i2'!FS36)</f>
        <v>0</v>
      </c>
      <c r="FW36" t="str">
        <f t="shared" si="127"/>
        <v>H</v>
      </c>
      <c r="FX36">
        <f t="shared" si="128"/>
        <v>1</v>
      </c>
      <c r="FY36" t="b">
        <f t="shared" ca="1" si="129"/>
        <v>0</v>
      </c>
      <c r="FZ36" t="b">
        <f t="shared" ca="1" si="130"/>
        <v>1</v>
      </c>
      <c r="GA36" t="b">
        <f t="shared" ca="1" si="131"/>
        <v>0</v>
      </c>
      <c r="GB36">
        <f t="shared" si="132"/>
        <v>0</v>
      </c>
      <c r="GC36">
        <f t="shared" si="133"/>
        <v>0</v>
      </c>
      <c r="GD36">
        <f t="shared" si="134"/>
        <v>0</v>
      </c>
      <c r="GE36">
        <f t="shared" ca="1" si="135"/>
        <v>0</v>
      </c>
      <c r="GF36">
        <f t="shared" ca="1" si="136"/>
        <v>0</v>
      </c>
      <c r="GG36">
        <f t="shared" ca="1" si="137"/>
        <v>1</v>
      </c>
      <c r="GH36" t="b">
        <f t="shared" si="138"/>
        <v>0</v>
      </c>
      <c r="GI36" s="6" t="b">
        <f t="shared" si="139"/>
        <v>0</v>
      </c>
      <c r="GJ36" t="e">
        <f>MATCH(GJ$2,Spieltage!$C$483:$C$491,0)+482</f>
        <v>#N/A</v>
      </c>
      <c r="GK36">
        <f>MATCH(GJ$2,Spieltage!$E$483:$E$491,0)+482</f>
        <v>488</v>
      </c>
      <c r="GL36">
        <f t="shared" si="140"/>
        <v>488</v>
      </c>
      <c r="GM36">
        <f ca="1">INDIRECT("Spieltage!$F"&amp;'i2'!GL36)</f>
        <v>0</v>
      </c>
      <c r="GN36" s="35" t="s">
        <v>12</v>
      </c>
      <c r="GO36" s="97">
        <f ca="1">INDIRECT("Spieltage!$H"&amp;'i2'!GL36)</f>
        <v>0</v>
      </c>
      <c r="GP36" t="str">
        <f t="shared" si="141"/>
        <v>A</v>
      </c>
      <c r="GQ36">
        <f t="shared" si="142"/>
        <v>2</v>
      </c>
      <c r="GR36">
        <f t="shared" si="143"/>
        <v>0</v>
      </c>
      <c r="GS36">
        <f t="shared" si="144"/>
        <v>0</v>
      </c>
      <c r="GT36">
        <f t="shared" si="145"/>
        <v>0</v>
      </c>
      <c r="GU36" t="b">
        <f t="shared" ca="1" si="146"/>
        <v>0</v>
      </c>
      <c r="GV36" t="b">
        <f t="shared" ca="1" si="147"/>
        <v>1</v>
      </c>
      <c r="GW36" t="b">
        <f t="shared" ca="1" si="148"/>
        <v>0</v>
      </c>
      <c r="GX36">
        <f t="shared" ca="1" si="149"/>
        <v>0</v>
      </c>
      <c r="GY36" t="b">
        <f t="shared" si="150"/>
        <v>0</v>
      </c>
      <c r="GZ36" t="b">
        <f t="shared" si="151"/>
        <v>0</v>
      </c>
      <c r="HA36">
        <f t="shared" ca="1" si="152"/>
        <v>0</v>
      </c>
      <c r="HB36" s="6">
        <f t="shared" ca="1" si="153"/>
        <v>1</v>
      </c>
      <c r="HC36">
        <f>MATCH(HC$2,Spieltage!$C$483:$C$491,0)+482</f>
        <v>486</v>
      </c>
      <c r="HD36" t="e">
        <f>MATCH(HC$2,Spieltage!$E$483:$E$491,0)+482</f>
        <v>#N/A</v>
      </c>
      <c r="HE36">
        <f t="shared" si="154"/>
        <v>486</v>
      </c>
      <c r="HF36">
        <f ca="1">INDIRECT("Spieltage!$F"&amp;'i2'!HE36)</f>
        <v>0</v>
      </c>
      <c r="HG36" s="35" t="s">
        <v>12</v>
      </c>
      <c r="HH36" s="97">
        <f ca="1">INDIRECT("Spieltage!$H"&amp;'i2'!HE36)</f>
        <v>0</v>
      </c>
      <c r="HI36" t="str">
        <f t="shared" si="155"/>
        <v>H</v>
      </c>
      <c r="HJ36">
        <f t="shared" si="156"/>
        <v>1</v>
      </c>
      <c r="HK36" t="b">
        <f t="shared" ca="1" si="157"/>
        <v>0</v>
      </c>
      <c r="HL36" t="b">
        <f t="shared" ca="1" si="158"/>
        <v>1</v>
      </c>
      <c r="HM36" t="b">
        <f t="shared" ca="1" si="159"/>
        <v>0</v>
      </c>
      <c r="HN36">
        <f t="shared" si="160"/>
        <v>0</v>
      </c>
      <c r="HO36">
        <f t="shared" si="161"/>
        <v>0</v>
      </c>
      <c r="HP36">
        <f t="shared" si="162"/>
        <v>0</v>
      </c>
      <c r="HQ36">
        <f t="shared" ca="1" si="163"/>
        <v>0</v>
      </c>
      <c r="HR36">
        <f t="shared" ca="1" si="164"/>
        <v>0</v>
      </c>
      <c r="HS36">
        <f t="shared" ca="1" si="165"/>
        <v>1</v>
      </c>
      <c r="HT36" t="b">
        <f t="shared" si="166"/>
        <v>0</v>
      </c>
      <c r="HU36" s="6" t="b">
        <f t="shared" si="167"/>
        <v>0</v>
      </c>
      <c r="HV36" t="e">
        <f>MATCH(HV$2,Spieltage!$C$483:$C$491,0)+482</f>
        <v>#N/A</v>
      </c>
      <c r="HW36">
        <f>MATCH(HV$2,Spieltage!$E$483:$E$491,0)+482</f>
        <v>489</v>
      </c>
      <c r="HX36">
        <f t="shared" si="168"/>
        <v>489</v>
      </c>
      <c r="HY36">
        <f ca="1">INDIRECT("Spieltage!$F"&amp;'i2'!HX36)</f>
        <v>0</v>
      </c>
      <c r="HZ36" s="35" t="s">
        <v>12</v>
      </c>
      <c r="IA36" s="97">
        <f ca="1">INDIRECT("Spieltage!$H"&amp;'i2'!HX36)</f>
        <v>0</v>
      </c>
      <c r="IB36" t="str">
        <f t="shared" si="169"/>
        <v>A</v>
      </c>
      <c r="IC36">
        <f t="shared" si="170"/>
        <v>2</v>
      </c>
      <c r="ID36">
        <f t="shared" si="171"/>
        <v>0</v>
      </c>
      <c r="IE36">
        <f t="shared" si="172"/>
        <v>0</v>
      </c>
      <c r="IF36">
        <f t="shared" si="173"/>
        <v>0</v>
      </c>
      <c r="IG36" t="b">
        <f t="shared" ca="1" si="174"/>
        <v>0</v>
      </c>
      <c r="IH36" t="b">
        <f t="shared" ca="1" si="175"/>
        <v>1</v>
      </c>
      <c r="II36" t="b">
        <f t="shared" ca="1" si="176"/>
        <v>0</v>
      </c>
      <c r="IJ36">
        <f t="shared" ca="1" si="177"/>
        <v>0</v>
      </c>
      <c r="IK36" t="b">
        <f t="shared" si="178"/>
        <v>0</v>
      </c>
      <c r="IL36" t="b">
        <f t="shared" si="179"/>
        <v>0</v>
      </c>
      <c r="IM36">
        <f t="shared" ca="1" si="180"/>
        <v>0</v>
      </c>
      <c r="IN36" s="6">
        <f t="shared" ca="1" si="181"/>
        <v>1</v>
      </c>
      <c r="IO36">
        <f>MATCH(IO$2,Spieltage!$C$483:$C$491,0)+482</f>
        <v>484</v>
      </c>
      <c r="IP36" t="e">
        <f>MATCH(IO$2,Spieltage!$E$483:$E$491,0)+482</f>
        <v>#N/A</v>
      </c>
      <c r="IQ36">
        <f t="shared" si="182"/>
        <v>484</v>
      </c>
      <c r="IR36">
        <f ca="1">INDIRECT("Spieltage!$F"&amp;'i2'!IQ36)</f>
        <v>0</v>
      </c>
      <c r="IS36" s="35" t="s">
        <v>12</v>
      </c>
      <c r="IT36" s="97">
        <f ca="1">INDIRECT("Spieltage!$H"&amp;'i2'!IQ36)</f>
        <v>0</v>
      </c>
      <c r="IU36" t="str">
        <f t="shared" si="183"/>
        <v>H</v>
      </c>
      <c r="IV36">
        <f t="shared" si="184"/>
        <v>1</v>
      </c>
      <c r="IW36" t="b">
        <f t="shared" ca="1" si="185"/>
        <v>0</v>
      </c>
      <c r="IX36" t="b">
        <f t="shared" ca="1" si="186"/>
        <v>1</v>
      </c>
      <c r="IY36" t="b">
        <f t="shared" ca="1" si="187"/>
        <v>0</v>
      </c>
      <c r="IZ36">
        <f t="shared" si="188"/>
        <v>0</v>
      </c>
      <c r="JA36">
        <f t="shared" si="189"/>
        <v>0</v>
      </c>
      <c r="JB36">
        <f t="shared" si="190"/>
        <v>0</v>
      </c>
      <c r="JC36">
        <f t="shared" ca="1" si="191"/>
        <v>0</v>
      </c>
      <c r="JD36">
        <f t="shared" ca="1" si="192"/>
        <v>0</v>
      </c>
      <c r="JE36">
        <f t="shared" ca="1" si="193"/>
        <v>1</v>
      </c>
      <c r="JF36" t="b">
        <f t="shared" si="194"/>
        <v>0</v>
      </c>
      <c r="JG36" s="6" t="b">
        <f t="shared" si="195"/>
        <v>0</v>
      </c>
      <c r="JH36" t="e">
        <f>MATCH(JH$2,Spieltage!$C$483:$C$491,0)+482</f>
        <v>#N/A</v>
      </c>
      <c r="JI36">
        <f>MATCH(JH$2,Spieltage!$E$483:$E$491,0)+482</f>
        <v>490</v>
      </c>
      <c r="JJ36">
        <f t="shared" si="196"/>
        <v>490</v>
      </c>
      <c r="JK36">
        <f ca="1">INDIRECT("Spieltage!$F"&amp;'i2'!JJ36)</f>
        <v>0</v>
      </c>
      <c r="JL36" s="35" t="s">
        <v>12</v>
      </c>
      <c r="JM36" s="97">
        <f ca="1">INDIRECT("Spieltage!$H"&amp;'i2'!JJ36)</f>
        <v>0</v>
      </c>
      <c r="JN36" t="str">
        <f t="shared" si="197"/>
        <v>A</v>
      </c>
      <c r="JO36">
        <f t="shared" si="198"/>
        <v>2</v>
      </c>
      <c r="JP36">
        <f t="shared" si="199"/>
        <v>0</v>
      </c>
      <c r="JQ36">
        <f t="shared" si="200"/>
        <v>0</v>
      </c>
      <c r="JR36">
        <f t="shared" si="201"/>
        <v>0</v>
      </c>
      <c r="JS36" t="b">
        <f t="shared" ca="1" si="202"/>
        <v>0</v>
      </c>
      <c r="JT36" t="b">
        <f t="shared" ca="1" si="203"/>
        <v>1</v>
      </c>
      <c r="JU36" t="b">
        <f t="shared" ca="1" si="204"/>
        <v>0</v>
      </c>
      <c r="JV36">
        <f t="shared" ca="1" si="205"/>
        <v>0</v>
      </c>
      <c r="JW36" t="b">
        <f t="shared" si="206"/>
        <v>0</v>
      </c>
      <c r="JX36" t="b">
        <f t="shared" si="207"/>
        <v>0</v>
      </c>
      <c r="JY36">
        <f t="shared" ca="1" si="208"/>
        <v>0</v>
      </c>
      <c r="JZ36" s="6">
        <f t="shared" ca="1" si="209"/>
        <v>1</v>
      </c>
      <c r="KA36">
        <f>MATCH(KA$2,Spieltage!$C$483:$C$491,0)+482</f>
        <v>485</v>
      </c>
      <c r="KB36" t="e">
        <f>MATCH(KA$2,Spieltage!$E$483:$E$491,0)+482</f>
        <v>#N/A</v>
      </c>
      <c r="KC36">
        <f t="shared" si="210"/>
        <v>485</v>
      </c>
      <c r="KD36">
        <f ca="1">INDIRECT("Spieltage!$F"&amp;'i2'!KC36)</f>
        <v>0</v>
      </c>
      <c r="KE36" s="35" t="s">
        <v>12</v>
      </c>
      <c r="KF36" s="97">
        <f ca="1">INDIRECT("Spieltage!$H"&amp;'i2'!KC36)</f>
        <v>0</v>
      </c>
      <c r="KG36" t="str">
        <f t="shared" si="211"/>
        <v>H</v>
      </c>
      <c r="KH36">
        <f t="shared" si="212"/>
        <v>1</v>
      </c>
      <c r="KI36" t="b">
        <f t="shared" ca="1" si="213"/>
        <v>0</v>
      </c>
      <c r="KJ36" t="b">
        <f t="shared" ca="1" si="214"/>
        <v>1</v>
      </c>
      <c r="KK36" t="b">
        <f t="shared" ca="1" si="215"/>
        <v>0</v>
      </c>
      <c r="KL36">
        <f t="shared" si="216"/>
        <v>0</v>
      </c>
      <c r="KM36">
        <f t="shared" si="217"/>
        <v>0</v>
      </c>
      <c r="KN36">
        <f t="shared" si="218"/>
        <v>0</v>
      </c>
      <c r="KO36">
        <f t="shared" ca="1" si="219"/>
        <v>0</v>
      </c>
      <c r="KP36">
        <f t="shared" ca="1" si="220"/>
        <v>0</v>
      </c>
      <c r="KQ36">
        <f t="shared" ca="1" si="221"/>
        <v>1</v>
      </c>
      <c r="KR36" t="b">
        <f t="shared" si="222"/>
        <v>0</v>
      </c>
      <c r="KS36" s="6" t="b">
        <f t="shared" si="223"/>
        <v>0</v>
      </c>
      <c r="KT36" t="e">
        <f>MATCH(KT$2,Spieltage!$C$483:$C$491,0)+482</f>
        <v>#N/A</v>
      </c>
      <c r="KU36">
        <f>MATCH(KT$2,Spieltage!$E$483:$E$491,0)+482</f>
        <v>491</v>
      </c>
      <c r="KV36">
        <f t="shared" si="224"/>
        <v>491</v>
      </c>
      <c r="KW36">
        <f ca="1">INDIRECT("Spieltage!$F"&amp;'i2'!KV36)</f>
        <v>0</v>
      </c>
      <c r="KX36" s="35" t="s">
        <v>12</v>
      </c>
      <c r="KY36" s="97">
        <f ca="1">INDIRECT("Spieltage!$H"&amp;'i2'!KV36)</f>
        <v>0</v>
      </c>
      <c r="KZ36" t="str">
        <f t="shared" si="225"/>
        <v>A</v>
      </c>
      <c r="LA36">
        <f t="shared" si="226"/>
        <v>2</v>
      </c>
      <c r="LB36">
        <f t="shared" si="227"/>
        <v>0</v>
      </c>
      <c r="LC36">
        <f t="shared" si="228"/>
        <v>0</v>
      </c>
      <c r="LD36">
        <f t="shared" si="229"/>
        <v>0</v>
      </c>
      <c r="LE36" t="b">
        <f t="shared" ca="1" si="230"/>
        <v>0</v>
      </c>
      <c r="LF36" t="b">
        <f t="shared" ca="1" si="231"/>
        <v>1</v>
      </c>
      <c r="LG36" t="b">
        <f t="shared" ca="1" si="232"/>
        <v>0</v>
      </c>
      <c r="LH36">
        <f t="shared" ca="1" si="233"/>
        <v>0</v>
      </c>
      <c r="LI36" t="b">
        <f t="shared" si="234"/>
        <v>0</v>
      </c>
      <c r="LJ36" t="b">
        <f t="shared" si="235"/>
        <v>0</v>
      </c>
      <c r="LK36">
        <f t="shared" ca="1" si="236"/>
        <v>0</v>
      </c>
      <c r="LL36" s="6">
        <f t="shared" ca="1" si="237"/>
        <v>1</v>
      </c>
      <c r="LM36">
        <f>MATCH(LM$2,Spieltage!$C$483:$C$491,0)+482</f>
        <v>483</v>
      </c>
      <c r="LN36" t="e">
        <f>MATCH(LM$2,Spieltage!$E$483:$E$491,0)+482</f>
        <v>#N/A</v>
      </c>
      <c r="LO36">
        <f t="shared" si="238"/>
        <v>483</v>
      </c>
      <c r="LP36">
        <f ca="1">INDIRECT("Spieltage!$F"&amp;'i2'!LO36)</f>
        <v>0</v>
      </c>
      <c r="LQ36" s="35" t="s">
        <v>12</v>
      </c>
      <c r="LR36" s="97">
        <f ca="1">INDIRECT("Spieltage!$H"&amp;'i2'!LO36)</f>
        <v>0</v>
      </c>
      <c r="LS36" t="str">
        <f t="shared" si="239"/>
        <v>H</v>
      </c>
      <c r="LT36">
        <f t="shared" si="240"/>
        <v>1</v>
      </c>
      <c r="LU36" t="b">
        <f t="shared" ca="1" si="241"/>
        <v>0</v>
      </c>
      <c r="LV36" t="b">
        <f t="shared" ca="1" si="242"/>
        <v>1</v>
      </c>
      <c r="LW36" t="b">
        <f t="shared" ca="1" si="243"/>
        <v>0</v>
      </c>
      <c r="LX36">
        <f t="shared" si="244"/>
        <v>0</v>
      </c>
      <c r="LY36">
        <f t="shared" si="245"/>
        <v>0</v>
      </c>
      <c r="LZ36">
        <f t="shared" si="246"/>
        <v>0</v>
      </c>
      <c r="MA36">
        <f t="shared" ca="1" si="247"/>
        <v>0</v>
      </c>
      <c r="MB36">
        <f t="shared" ca="1" si="248"/>
        <v>0</v>
      </c>
      <c r="MC36">
        <f t="shared" ca="1" si="249"/>
        <v>1</v>
      </c>
      <c r="MD36" t="b">
        <f t="shared" si="250"/>
        <v>0</v>
      </c>
      <c r="ME36" s="6" t="b">
        <f t="shared" si="251"/>
        <v>0</v>
      </c>
    </row>
    <row r="37" spans="1:343" x14ac:dyDescent="0.2">
      <c r="A37" s="104" t="s">
        <v>245</v>
      </c>
      <c r="B37">
        <f>MATCH(B$2,Spieltage!$C$498:$C$506,0)+497</f>
        <v>505</v>
      </c>
      <c r="C37" t="e">
        <f>MATCH(B$2,Spieltage!$E$498:$E$506,0)+497</f>
        <v>#N/A</v>
      </c>
      <c r="D37">
        <f t="shared" si="0"/>
        <v>505</v>
      </c>
      <c r="E37">
        <f ca="1">INDIRECT("Spieltage!$F"&amp;'i2'!D37)</f>
        <v>0</v>
      </c>
      <c r="F37" s="35" t="s">
        <v>12</v>
      </c>
      <c r="G37" s="97">
        <f ca="1">INDIRECT("Spieltage!$H"&amp;'i2'!D37)</f>
        <v>0</v>
      </c>
      <c r="H37" t="str">
        <f t="shared" si="1"/>
        <v>H</v>
      </c>
      <c r="I37">
        <f t="shared" si="2"/>
        <v>1</v>
      </c>
      <c r="J37" t="b">
        <f t="shared" ca="1" si="3"/>
        <v>0</v>
      </c>
      <c r="K37" t="b">
        <f t="shared" ca="1" si="4"/>
        <v>1</v>
      </c>
      <c r="L37" t="b">
        <f t="shared" ca="1" si="5"/>
        <v>0</v>
      </c>
      <c r="M37">
        <f t="shared" si="6"/>
        <v>0</v>
      </c>
      <c r="N37">
        <f t="shared" si="7"/>
        <v>0</v>
      </c>
      <c r="O37">
        <f t="shared" si="8"/>
        <v>0</v>
      </c>
      <c r="P37">
        <f t="shared" ca="1" si="9"/>
        <v>0</v>
      </c>
      <c r="Q37">
        <f t="shared" ca="1" si="10"/>
        <v>0</v>
      </c>
      <c r="R37">
        <f t="shared" ca="1" si="11"/>
        <v>1</v>
      </c>
      <c r="S37" t="b">
        <f t="shared" si="12"/>
        <v>0</v>
      </c>
      <c r="T37" s="6" t="b">
        <f t="shared" si="13"/>
        <v>0</v>
      </c>
      <c r="U37" t="e">
        <f>MATCH(U$2,Spieltage!$C$498:$C$506,0)+497</f>
        <v>#N/A</v>
      </c>
      <c r="V37">
        <f>MATCH(U$2,Spieltage!$E$498:$E$506,0)+497</f>
        <v>500</v>
      </c>
      <c r="W37">
        <f t="shared" si="14"/>
        <v>500</v>
      </c>
      <c r="X37">
        <f ca="1">INDIRECT("Spieltage!$F"&amp;'i2'!W37)</f>
        <v>0</v>
      </c>
      <c r="Y37" s="35" t="s">
        <v>12</v>
      </c>
      <c r="Z37" s="97">
        <f ca="1">INDIRECT("Spieltage!$H"&amp;'i2'!W37)</f>
        <v>0</v>
      </c>
      <c r="AA37" t="str">
        <f t="shared" si="15"/>
        <v>A</v>
      </c>
      <c r="AB37">
        <f t="shared" si="16"/>
        <v>2</v>
      </c>
      <c r="AC37">
        <f t="shared" si="17"/>
        <v>0</v>
      </c>
      <c r="AD37">
        <f t="shared" si="18"/>
        <v>0</v>
      </c>
      <c r="AE37">
        <f t="shared" si="19"/>
        <v>0</v>
      </c>
      <c r="AF37" t="b">
        <f t="shared" ca="1" si="20"/>
        <v>0</v>
      </c>
      <c r="AG37" t="b">
        <f t="shared" ca="1" si="21"/>
        <v>1</v>
      </c>
      <c r="AH37" t="b">
        <f t="shared" ca="1" si="22"/>
        <v>0</v>
      </c>
      <c r="AI37">
        <f t="shared" ca="1" si="23"/>
        <v>0</v>
      </c>
      <c r="AJ37" t="b">
        <f t="shared" si="24"/>
        <v>0</v>
      </c>
      <c r="AK37" t="b">
        <f t="shared" si="25"/>
        <v>0</v>
      </c>
      <c r="AL37">
        <f t="shared" ca="1" si="26"/>
        <v>0</v>
      </c>
      <c r="AM37" s="6">
        <f t="shared" ca="1" si="27"/>
        <v>1</v>
      </c>
      <c r="AN37">
        <f>MATCH(AN$2,Spieltage!$C$498:$C$506,0)+497</f>
        <v>506</v>
      </c>
      <c r="AO37" t="e">
        <f>MATCH(AN$2,Spieltage!$E$498:$E$506,0)+497</f>
        <v>#N/A</v>
      </c>
      <c r="AP37">
        <f t="shared" si="28"/>
        <v>506</v>
      </c>
      <c r="AQ37">
        <f ca="1">INDIRECT("Spieltage!$F"&amp;'i2'!AP37)</f>
        <v>0</v>
      </c>
      <c r="AR37" s="35" t="s">
        <v>12</v>
      </c>
      <c r="AS37" s="97">
        <f ca="1">INDIRECT("Spieltage!$H"&amp;'i2'!AP37)</f>
        <v>0</v>
      </c>
      <c r="AT37" t="str">
        <f t="shared" si="29"/>
        <v>H</v>
      </c>
      <c r="AU37">
        <f t="shared" si="30"/>
        <v>1</v>
      </c>
      <c r="AV37" t="b">
        <f t="shared" ca="1" si="31"/>
        <v>0</v>
      </c>
      <c r="AW37" t="b">
        <f t="shared" ca="1" si="32"/>
        <v>1</v>
      </c>
      <c r="AX37" t="b">
        <f t="shared" ca="1" si="33"/>
        <v>0</v>
      </c>
      <c r="AY37">
        <f t="shared" si="34"/>
        <v>0</v>
      </c>
      <c r="AZ37">
        <f t="shared" si="35"/>
        <v>0</v>
      </c>
      <c r="BA37">
        <f t="shared" si="36"/>
        <v>0</v>
      </c>
      <c r="BB37">
        <f t="shared" ca="1" si="37"/>
        <v>0</v>
      </c>
      <c r="BC37">
        <f t="shared" ca="1" si="38"/>
        <v>0</v>
      </c>
      <c r="BD37">
        <f t="shared" ca="1" si="39"/>
        <v>1</v>
      </c>
      <c r="BE37" t="b">
        <f t="shared" si="40"/>
        <v>0</v>
      </c>
      <c r="BF37" s="6" t="b">
        <f t="shared" si="41"/>
        <v>0</v>
      </c>
      <c r="BG37" t="e">
        <f>MATCH(BG$2,Spieltage!$C$498:$C$506,0)+497</f>
        <v>#N/A</v>
      </c>
      <c r="BH37">
        <f>MATCH(BG$2,Spieltage!$E$498:$E$506,0)+497</f>
        <v>504</v>
      </c>
      <c r="BI37">
        <f t="shared" si="42"/>
        <v>504</v>
      </c>
      <c r="BJ37">
        <f ca="1">INDIRECT("Spieltage!$F"&amp;'i2'!BI37)</f>
        <v>0</v>
      </c>
      <c r="BK37" s="35" t="s">
        <v>12</v>
      </c>
      <c r="BL37" s="97">
        <f ca="1">INDIRECT("Spieltage!$H"&amp;'i2'!BI37)</f>
        <v>0</v>
      </c>
      <c r="BM37" t="str">
        <f t="shared" si="43"/>
        <v>A</v>
      </c>
      <c r="BN37">
        <f t="shared" si="44"/>
        <v>2</v>
      </c>
      <c r="BO37">
        <f t="shared" si="45"/>
        <v>0</v>
      </c>
      <c r="BP37">
        <f t="shared" si="46"/>
        <v>0</v>
      </c>
      <c r="BQ37">
        <f t="shared" si="47"/>
        <v>0</v>
      </c>
      <c r="BR37" t="b">
        <f t="shared" ca="1" si="48"/>
        <v>0</v>
      </c>
      <c r="BS37" t="b">
        <f t="shared" ca="1" si="49"/>
        <v>1</v>
      </c>
      <c r="BT37" t="b">
        <f t="shared" ca="1" si="50"/>
        <v>0</v>
      </c>
      <c r="BU37">
        <f t="shared" ca="1" si="51"/>
        <v>0</v>
      </c>
      <c r="BV37" t="b">
        <f t="shared" si="52"/>
        <v>0</v>
      </c>
      <c r="BW37" t="b">
        <f t="shared" si="53"/>
        <v>0</v>
      </c>
      <c r="BX37">
        <f t="shared" ca="1" si="54"/>
        <v>0</v>
      </c>
      <c r="BY37" s="6">
        <f t="shared" ca="1" si="55"/>
        <v>1</v>
      </c>
      <c r="BZ37">
        <f>MATCH(BZ$2,Spieltage!$C$498:$C$506,0)+497</f>
        <v>501</v>
      </c>
      <c r="CA37" t="e">
        <f>MATCH(BZ$2,Spieltage!$E$498:$E$506,0)+497</f>
        <v>#N/A</v>
      </c>
      <c r="CB37">
        <f t="shared" si="56"/>
        <v>501</v>
      </c>
      <c r="CC37">
        <f ca="1">INDIRECT("Spieltage!$F"&amp;'i2'!CB37)</f>
        <v>0</v>
      </c>
      <c r="CD37" s="35" t="s">
        <v>12</v>
      </c>
      <c r="CE37" s="97">
        <f ca="1">INDIRECT("Spieltage!$H"&amp;'i2'!CB37)</f>
        <v>0</v>
      </c>
      <c r="CF37" t="str">
        <f t="shared" si="57"/>
        <v>H</v>
      </c>
      <c r="CG37">
        <f t="shared" si="58"/>
        <v>1</v>
      </c>
      <c r="CH37" t="b">
        <f t="shared" ca="1" si="59"/>
        <v>0</v>
      </c>
      <c r="CI37" t="b">
        <f t="shared" ca="1" si="60"/>
        <v>1</v>
      </c>
      <c r="CJ37" t="b">
        <f t="shared" ca="1" si="61"/>
        <v>0</v>
      </c>
      <c r="CK37">
        <f t="shared" si="62"/>
        <v>0</v>
      </c>
      <c r="CL37">
        <f t="shared" si="63"/>
        <v>0</v>
      </c>
      <c r="CM37">
        <f t="shared" si="64"/>
        <v>0</v>
      </c>
      <c r="CN37">
        <f t="shared" ca="1" si="65"/>
        <v>0</v>
      </c>
      <c r="CO37">
        <f t="shared" ca="1" si="66"/>
        <v>0</v>
      </c>
      <c r="CP37">
        <f t="shared" ca="1" si="67"/>
        <v>1</v>
      </c>
      <c r="CQ37" t="b">
        <f t="shared" si="68"/>
        <v>0</v>
      </c>
      <c r="CR37" s="6" t="b">
        <f t="shared" si="69"/>
        <v>0</v>
      </c>
      <c r="CS37">
        <f>MATCH(CS$2,Spieltage!$C$498:$C$506,0)+497</f>
        <v>498</v>
      </c>
      <c r="CT37" t="e">
        <f>MATCH(CS$2,Spieltage!$E$498:$E$506,0)+497</f>
        <v>#N/A</v>
      </c>
      <c r="CU37">
        <f t="shared" si="70"/>
        <v>498</v>
      </c>
      <c r="CV37">
        <f ca="1">INDIRECT("Spieltage!$F"&amp;'i2'!CU37)</f>
        <v>0</v>
      </c>
      <c r="CW37" s="35" t="s">
        <v>12</v>
      </c>
      <c r="CX37" s="97">
        <f ca="1">INDIRECT("Spieltage!$H"&amp;'i2'!CU37)</f>
        <v>0</v>
      </c>
      <c r="CY37" t="str">
        <f t="shared" si="71"/>
        <v>H</v>
      </c>
      <c r="CZ37">
        <f t="shared" si="72"/>
        <v>1</v>
      </c>
      <c r="DA37" t="b">
        <f t="shared" ca="1" si="73"/>
        <v>0</v>
      </c>
      <c r="DB37" t="b">
        <f t="shared" ca="1" si="74"/>
        <v>1</v>
      </c>
      <c r="DC37" t="b">
        <f t="shared" ca="1" si="75"/>
        <v>0</v>
      </c>
      <c r="DD37">
        <f t="shared" si="76"/>
        <v>0</v>
      </c>
      <c r="DE37">
        <f t="shared" si="77"/>
        <v>0</v>
      </c>
      <c r="DF37">
        <f t="shared" si="78"/>
        <v>0</v>
      </c>
      <c r="DG37">
        <f t="shared" ca="1" si="79"/>
        <v>0</v>
      </c>
      <c r="DH37">
        <f t="shared" ca="1" si="80"/>
        <v>0</v>
      </c>
      <c r="DI37">
        <f t="shared" ca="1" si="81"/>
        <v>1</v>
      </c>
      <c r="DJ37" t="b">
        <f t="shared" si="82"/>
        <v>0</v>
      </c>
      <c r="DK37" s="6" t="b">
        <f t="shared" si="83"/>
        <v>0</v>
      </c>
      <c r="DL37">
        <f>MATCH(DL$2,Spieltage!$C$498:$C$506,0)+497</f>
        <v>500</v>
      </c>
      <c r="DM37" t="e">
        <f>MATCH(DL$2,Spieltage!$E$498:$E$506,0)+497</f>
        <v>#N/A</v>
      </c>
      <c r="DN37">
        <f t="shared" si="84"/>
        <v>500</v>
      </c>
      <c r="DO37">
        <f ca="1">INDIRECT("Spieltage!$F"&amp;'i2'!DN37)</f>
        <v>0</v>
      </c>
      <c r="DP37" s="35" t="s">
        <v>12</v>
      </c>
      <c r="DQ37" s="97">
        <f ca="1">INDIRECT("Spieltage!$H"&amp;'i2'!DN37)</f>
        <v>0</v>
      </c>
      <c r="DR37" t="str">
        <f t="shared" si="85"/>
        <v>H</v>
      </c>
      <c r="DS37">
        <f t="shared" si="86"/>
        <v>1</v>
      </c>
      <c r="DT37" t="b">
        <f t="shared" ca="1" si="87"/>
        <v>0</v>
      </c>
      <c r="DU37" t="b">
        <f t="shared" ca="1" si="88"/>
        <v>1</v>
      </c>
      <c r="DV37" t="b">
        <f t="shared" ca="1" si="89"/>
        <v>0</v>
      </c>
      <c r="DW37">
        <f t="shared" si="90"/>
        <v>0</v>
      </c>
      <c r="DX37">
        <f t="shared" si="91"/>
        <v>0</v>
      </c>
      <c r="DY37">
        <f t="shared" si="92"/>
        <v>0</v>
      </c>
      <c r="DZ37">
        <f t="shared" ca="1" si="93"/>
        <v>0</v>
      </c>
      <c r="EA37">
        <f t="shared" ca="1" si="94"/>
        <v>0</v>
      </c>
      <c r="EB37">
        <f t="shared" ca="1" si="95"/>
        <v>1</v>
      </c>
      <c r="EC37" t="b">
        <f t="shared" si="96"/>
        <v>0</v>
      </c>
      <c r="ED37" s="6" t="b">
        <f t="shared" si="97"/>
        <v>0</v>
      </c>
      <c r="EE37" t="e">
        <f>MATCH(EE$2,Spieltage!$C$498:$C$506,0)+497</f>
        <v>#N/A</v>
      </c>
      <c r="EF37">
        <f>MATCH(EE$2,Spieltage!$E$498:$E$506,0)+497</f>
        <v>503</v>
      </c>
      <c r="EG37">
        <f t="shared" si="98"/>
        <v>503</v>
      </c>
      <c r="EH37">
        <f ca="1">INDIRECT("Spieltage!$F"&amp;'i2'!EG37)</f>
        <v>0</v>
      </c>
      <c r="EI37" s="35" t="s">
        <v>12</v>
      </c>
      <c r="EJ37" s="97">
        <f ca="1">INDIRECT("Spieltage!$H"&amp;'i2'!EG37)</f>
        <v>0</v>
      </c>
      <c r="EK37" t="str">
        <f t="shared" si="99"/>
        <v>A</v>
      </c>
      <c r="EL37">
        <f t="shared" si="100"/>
        <v>2</v>
      </c>
      <c r="EM37">
        <f t="shared" si="101"/>
        <v>0</v>
      </c>
      <c r="EN37">
        <f t="shared" si="102"/>
        <v>0</v>
      </c>
      <c r="EO37">
        <f t="shared" si="103"/>
        <v>0</v>
      </c>
      <c r="EP37" t="b">
        <f t="shared" ca="1" si="104"/>
        <v>0</v>
      </c>
      <c r="EQ37" t="b">
        <f t="shared" ca="1" si="105"/>
        <v>1</v>
      </c>
      <c r="ER37" t="b">
        <f t="shared" ca="1" si="106"/>
        <v>0</v>
      </c>
      <c r="ES37">
        <f t="shared" ca="1" si="107"/>
        <v>0</v>
      </c>
      <c r="ET37" t="b">
        <f t="shared" si="108"/>
        <v>0</v>
      </c>
      <c r="EU37" t="b">
        <f t="shared" si="109"/>
        <v>0</v>
      </c>
      <c r="EV37">
        <f t="shared" ca="1" si="110"/>
        <v>0</v>
      </c>
      <c r="EW37" s="6">
        <f t="shared" ca="1" si="111"/>
        <v>1</v>
      </c>
      <c r="EX37" t="e">
        <f>MATCH(EX$2,Spieltage!$C$498:$C$506,0)+497</f>
        <v>#N/A</v>
      </c>
      <c r="EY37">
        <f>MATCH(EX$2,Spieltage!$E$498:$E$506,0)+497</f>
        <v>499</v>
      </c>
      <c r="EZ37">
        <f t="shared" si="112"/>
        <v>499</v>
      </c>
      <c r="FA37">
        <f ca="1">INDIRECT("Spieltage!$F"&amp;'i2'!EZ37)</f>
        <v>0</v>
      </c>
      <c r="FB37" s="35" t="s">
        <v>12</v>
      </c>
      <c r="FC37" s="97">
        <f ca="1">INDIRECT("Spieltage!$H"&amp;'i2'!EZ37)</f>
        <v>0</v>
      </c>
      <c r="FD37" t="str">
        <f t="shared" si="113"/>
        <v>A</v>
      </c>
      <c r="FE37">
        <f t="shared" si="114"/>
        <v>2</v>
      </c>
      <c r="FF37">
        <f t="shared" si="115"/>
        <v>0</v>
      </c>
      <c r="FG37">
        <f t="shared" si="116"/>
        <v>0</v>
      </c>
      <c r="FH37">
        <f t="shared" si="117"/>
        <v>0</v>
      </c>
      <c r="FI37" t="b">
        <f t="shared" ca="1" si="118"/>
        <v>0</v>
      </c>
      <c r="FJ37" t="b">
        <f t="shared" ca="1" si="119"/>
        <v>1</v>
      </c>
      <c r="FK37" t="b">
        <f t="shared" ca="1" si="120"/>
        <v>0</v>
      </c>
      <c r="FL37">
        <f t="shared" ca="1" si="121"/>
        <v>0</v>
      </c>
      <c r="FM37" t="b">
        <f t="shared" si="122"/>
        <v>0</v>
      </c>
      <c r="FN37" t="b">
        <f t="shared" si="123"/>
        <v>0</v>
      </c>
      <c r="FO37">
        <f t="shared" ca="1" si="124"/>
        <v>0</v>
      </c>
      <c r="FP37" s="6">
        <f t="shared" ca="1" si="125"/>
        <v>1</v>
      </c>
      <c r="FQ37" t="e">
        <f>MATCH(FQ$2,Spieltage!$C$498:$C$506,0)+497</f>
        <v>#N/A</v>
      </c>
      <c r="FR37">
        <f>MATCH(FQ$2,Spieltage!$E$498:$E$506,0)+497</f>
        <v>505</v>
      </c>
      <c r="FS37">
        <f t="shared" si="126"/>
        <v>505</v>
      </c>
      <c r="FT37">
        <f ca="1">INDIRECT("Spieltage!$F"&amp;'i2'!FS37)</f>
        <v>0</v>
      </c>
      <c r="FU37" s="35" t="s">
        <v>12</v>
      </c>
      <c r="FV37" s="97">
        <f ca="1">INDIRECT("Spieltage!$H"&amp;'i2'!FS37)</f>
        <v>0</v>
      </c>
      <c r="FW37" t="str">
        <f t="shared" si="127"/>
        <v>A</v>
      </c>
      <c r="FX37">
        <f t="shared" si="128"/>
        <v>2</v>
      </c>
      <c r="FY37">
        <f t="shared" si="129"/>
        <v>0</v>
      </c>
      <c r="FZ37">
        <f t="shared" si="130"/>
        <v>0</v>
      </c>
      <c r="GA37">
        <f t="shared" si="131"/>
        <v>0</v>
      </c>
      <c r="GB37" t="b">
        <f t="shared" ca="1" si="132"/>
        <v>0</v>
      </c>
      <c r="GC37" t="b">
        <f t="shared" ca="1" si="133"/>
        <v>1</v>
      </c>
      <c r="GD37" t="b">
        <f t="shared" ca="1" si="134"/>
        <v>0</v>
      </c>
      <c r="GE37">
        <f t="shared" ca="1" si="135"/>
        <v>0</v>
      </c>
      <c r="GF37" t="b">
        <f t="shared" si="136"/>
        <v>0</v>
      </c>
      <c r="GG37" t="b">
        <f t="shared" si="137"/>
        <v>0</v>
      </c>
      <c r="GH37">
        <f t="shared" ca="1" si="138"/>
        <v>0</v>
      </c>
      <c r="GI37" s="6">
        <f t="shared" ca="1" si="139"/>
        <v>1</v>
      </c>
      <c r="GJ37">
        <f>MATCH(GJ$2,Spieltage!$C$498:$C$506,0)+497</f>
        <v>504</v>
      </c>
      <c r="GK37" t="e">
        <f>MATCH(GJ$2,Spieltage!$E$498:$E$506,0)+497</f>
        <v>#N/A</v>
      </c>
      <c r="GL37">
        <f t="shared" si="140"/>
        <v>504</v>
      </c>
      <c r="GM37">
        <f ca="1">INDIRECT("Spieltage!$F"&amp;'i2'!GL37)</f>
        <v>0</v>
      </c>
      <c r="GN37" s="35" t="s">
        <v>12</v>
      </c>
      <c r="GO37" s="97">
        <f ca="1">INDIRECT("Spieltage!$H"&amp;'i2'!GL37)</f>
        <v>0</v>
      </c>
      <c r="GP37" t="str">
        <f t="shared" si="141"/>
        <v>H</v>
      </c>
      <c r="GQ37">
        <f t="shared" si="142"/>
        <v>1</v>
      </c>
      <c r="GR37" t="b">
        <f t="shared" ca="1" si="143"/>
        <v>0</v>
      </c>
      <c r="GS37" t="b">
        <f t="shared" ca="1" si="144"/>
        <v>1</v>
      </c>
      <c r="GT37" t="b">
        <f t="shared" ca="1" si="145"/>
        <v>0</v>
      </c>
      <c r="GU37">
        <f t="shared" si="146"/>
        <v>0</v>
      </c>
      <c r="GV37">
        <f t="shared" si="147"/>
        <v>0</v>
      </c>
      <c r="GW37">
        <f t="shared" si="148"/>
        <v>0</v>
      </c>
      <c r="GX37">
        <f t="shared" ca="1" si="149"/>
        <v>0</v>
      </c>
      <c r="GY37">
        <f t="shared" ca="1" si="150"/>
        <v>0</v>
      </c>
      <c r="GZ37">
        <f t="shared" ca="1" si="151"/>
        <v>1</v>
      </c>
      <c r="HA37" t="b">
        <f t="shared" si="152"/>
        <v>0</v>
      </c>
      <c r="HB37" s="6" t="b">
        <f t="shared" si="153"/>
        <v>0</v>
      </c>
      <c r="HC37" t="e">
        <f>MATCH(HC$2,Spieltage!$C$498:$C$506,0)+497</f>
        <v>#N/A</v>
      </c>
      <c r="HD37">
        <f>MATCH(HC$2,Spieltage!$E$498:$E$506,0)+497</f>
        <v>506</v>
      </c>
      <c r="HE37">
        <f t="shared" si="154"/>
        <v>506</v>
      </c>
      <c r="HF37">
        <f ca="1">INDIRECT("Spieltage!$F"&amp;'i2'!HE37)</f>
        <v>0</v>
      </c>
      <c r="HG37" s="35" t="s">
        <v>12</v>
      </c>
      <c r="HH37" s="97">
        <f ca="1">INDIRECT("Spieltage!$H"&amp;'i2'!HE37)</f>
        <v>0</v>
      </c>
      <c r="HI37" t="str">
        <f t="shared" si="155"/>
        <v>A</v>
      </c>
      <c r="HJ37">
        <f t="shared" si="156"/>
        <v>2</v>
      </c>
      <c r="HK37">
        <f t="shared" si="157"/>
        <v>0</v>
      </c>
      <c r="HL37">
        <f t="shared" si="158"/>
        <v>0</v>
      </c>
      <c r="HM37">
        <f t="shared" si="159"/>
        <v>0</v>
      </c>
      <c r="HN37" t="b">
        <f t="shared" ca="1" si="160"/>
        <v>0</v>
      </c>
      <c r="HO37" t="b">
        <f t="shared" ca="1" si="161"/>
        <v>1</v>
      </c>
      <c r="HP37" t="b">
        <f t="shared" ca="1" si="162"/>
        <v>0</v>
      </c>
      <c r="HQ37">
        <f t="shared" ca="1" si="163"/>
        <v>0</v>
      </c>
      <c r="HR37" t="b">
        <f t="shared" si="164"/>
        <v>0</v>
      </c>
      <c r="HS37" t="b">
        <f t="shared" si="165"/>
        <v>0</v>
      </c>
      <c r="HT37">
        <f t="shared" ca="1" si="166"/>
        <v>0</v>
      </c>
      <c r="HU37" s="6">
        <f t="shared" ca="1" si="167"/>
        <v>1</v>
      </c>
      <c r="HV37">
        <f>MATCH(HV$2,Spieltage!$C$498:$C$506,0)+497</f>
        <v>503</v>
      </c>
      <c r="HW37" t="e">
        <f>MATCH(HV$2,Spieltage!$E$498:$E$506,0)+497</f>
        <v>#N/A</v>
      </c>
      <c r="HX37">
        <f t="shared" si="168"/>
        <v>503</v>
      </c>
      <c r="HY37">
        <f ca="1">INDIRECT("Spieltage!$F"&amp;'i2'!HX37)</f>
        <v>0</v>
      </c>
      <c r="HZ37" s="35" t="s">
        <v>12</v>
      </c>
      <c r="IA37" s="97">
        <f ca="1">INDIRECT("Spieltage!$H"&amp;'i2'!HX37)</f>
        <v>0</v>
      </c>
      <c r="IB37" t="str">
        <f t="shared" si="169"/>
        <v>H</v>
      </c>
      <c r="IC37">
        <f t="shared" si="170"/>
        <v>1</v>
      </c>
      <c r="ID37" t="b">
        <f t="shared" ca="1" si="171"/>
        <v>0</v>
      </c>
      <c r="IE37" t="b">
        <f t="shared" ca="1" si="172"/>
        <v>1</v>
      </c>
      <c r="IF37" t="b">
        <f t="shared" ca="1" si="173"/>
        <v>0</v>
      </c>
      <c r="IG37">
        <f t="shared" si="174"/>
        <v>0</v>
      </c>
      <c r="IH37">
        <f t="shared" si="175"/>
        <v>0</v>
      </c>
      <c r="II37">
        <f t="shared" si="176"/>
        <v>0</v>
      </c>
      <c r="IJ37">
        <f t="shared" ca="1" si="177"/>
        <v>0</v>
      </c>
      <c r="IK37">
        <f t="shared" ca="1" si="178"/>
        <v>0</v>
      </c>
      <c r="IL37">
        <f t="shared" ca="1" si="179"/>
        <v>1</v>
      </c>
      <c r="IM37" t="b">
        <f t="shared" si="180"/>
        <v>0</v>
      </c>
      <c r="IN37" s="6" t="b">
        <f t="shared" si="181"/>
        <v>0</v>
      </c>
      <c r="IO37" t="e">
        <f>MATCH(IO$2,Spieltage!$C$498:$C$506,0)+497</f>
        <v>#N/A</v>
      </c>
      <c r="IP37">
        <f>MATCH(IO$2,Spieltage!$E$498:$E$506,0)+497</f>
        <v>501</v>
      </c>
      <c r="IQ37">
        <f t="shared" si="182"/>
        <v>501</v>
      </c>
      <c r="IR37">
        <f ca="1">INDIRECT("Spieltage!$F"&amp;'i2'!IQ37)</f>
        <v>0</v>
      </c>
      <c r="IS37" s="35" t="s">
        <v>12</v>
      </c>
      <c r="IT37" s="97">
        <f ca="1">INDIRECT("Spieltage!$H"&amp;'i2'!IQ37)</f>
        <v>0</v>
      </c>
      <c r="IU37" t="str">
        <f t="shared" si="183"/>
        <v>A</v>
      </c>
      <c r="IV37">
        <f t="shared" si="184"/>
        <v>2</v>
      </c>
      <c r="IW37">
        <f t="shared" si="185"/>
        <v>0</v>
      </c>
      <c r="IX37">
        <f t="shared" si="186"/>
        <v>0</v>
      </c>
      <c r="IY37">
        <f t="shared" si="187"/>
        <v>0</v>
      </c>
      <c r="IZ37" t="b">
        <f t="shared" ca="1" si="188"/>
        <v>0</v>
      </c>
      <c r="JA37" t="b">
        <f t="shared" ca="1" si="189"/>
        <v>1</v>
      </c>
      <c r="JB37" t="b">
        <f t="shared" ca="1" si="190"/>
        <v>0</v>
      </c>
      <c r="JC37">
        <f t="shared" ca="1" si="191"/>
        <v>0</v>
      </c>
      <c r="JD37" t="b">
        <f t="shared" si="192"/>
        <v>0</v>
      </c>
      <c r="JE37" t="b">
        <f t="shared" si="193"/>
        <v>0</v>
      </c>
      <c r="JF37">
        <f t="shared" ca="1" si="194"/>
        <v>0</v>
      </c>
      <c r="JG37" s="6">
        <f t="shared" ca="1" si="195"/>
        <v>1</v>
      </c>
      <c r="JH37">
        <f>MATCH(JH$2,Spieltage!$C$498:$C$506,0)+497</f>
        <v>502</v>
      </c>
      <c r="JI37" t="e">
        <f>MATCH(JH$2,Spieltage!$E$498:$E$506,0)+497</f>
        <v>#N/A</v>
      </c>
      <c r="JJ37">
        <f t="shared" si="196"/>
        <v>502</v>
      </c>
      <c r="JK37">
        <f ca="1">INDIRECT("Spieltage!$F"&amp;'i2'!JJ37)</f>
        <v>0</v>
      </c>
      <c r="JL37" s="35" t="s">
        <v>12</v>
      </c>
      <c r="JM37" s="97">
        <f ca="1">INDIRECT("Spieltage!$H"&amp;'i2'!JJ37)</f>
        <v>0</v>
      </c>
      <c r="JN37" t="str">
        <f t="shared" si="197"/>
        <v>H</v>
      </c>
      <c r="JO37">
        <f t="shared" si="198"/>
        <v>1</v>
      </c>
      <c r="JP37" t="b">
        <f t="shared" ca="1" si="199"/>
        <v>0</v>
      </c>
      <c r="JQ37" t="b">
        <f t="shared" ca="1" si="200"/>
        <v>1</v>
      </c>
      <c r="JR37" t="b">
        <f t="shared" ca="1" si="201"/>
        <v>0</v>
      </c>
      <c r="JS37">
        <f t="shared" si="202"/>
        <v>0</v>
      </c>
      <c r="JT37">
        <f t="shared" si="203"/>
        <v>0</v>
      </c>
      <c r="JU37">
        <f t="shared" si="204"/>
        <v>0</v>
      </c>
      <c r="JV37">
        <f t="shared" ca="1" si="205"/>
        <v>0</v>
      </c>
      <c r="JW37">
        <f t="shared" ca="1" si="206"/>
        <v>0</v>
      </c>
      <c r="JX37">
        <f t="shared" ca="1" si="207"/>
        <v>1</v>
      </c>
      <c r="JY37" t="b">
        <f t="shared" si="208"/>
        <v>0</v>
      </c>
      <c r="JZ37" s="6" t="b">
        <f t="shared" si="209"/>
        <v>0</v>
      </c>
      <c r="KA37" t="e">
        <f>MATCH(KA$2,Spieltage!$C$498:$C$506,0)+497</f>
        <v>#N/A</v>
      </c>
      <c r="KB37">
        <f>MATCH(KA$2,Spieltage!$E$498:$E$506,0)+497</f>
        <v>498</v>
      </c>
      <c r="KC37">
        <f t="shared" si="210"/>
        <v>498</v>
      </c>
      <c r="KD37">
        <f ca="1">INDIRECT("Spieltage!$F"&amp;'i2'!KC37)</f>
        <v>0</v>
      </c>
      <c r="KE37" s="35" t="s">
        <v>12</v>
      </c>
      <c r="KF37" s="97">
        <f ca="1">INDIRECT("Spieltage!$H"&amp;'i2'!KC37)</f>
        <v>0</v>
      </c>
      <c r="KG37" t="str">
        <f t="shared" si="211"/>
        <v>A</v>
      </c>
      <c r="KH37">
        <f t="shared" si="212"/>
        <v>2</v>
      </c>
      <c r="KI37">
        <f t="shared" si="213"/>
        <v>0</v>
      </c>
      <c r="KJ37">
        <f t="shared" si="214"/>
        <v>0</v>
      </c>
      <c r="KK37">
        <f t="shared" si="215"/>
        <v>0</v>
      </c>
      <c r="KL37" t="b">
        <f t="shared" ca="1" si="216"/>
        <v>0</v>
      </c>
      <c r="KM37" t="b">
        <f t="shared" ca="1" si="217"/>
        <v>1</v>
      </c>
      <c r="KN37" t="b">
        <f t="shared" ca="1" si="218"/>
        <v>0</v>
      </c>
      <c r="KO37">
        <f t="shared" ca="1" si="219"/>
        <v>0</v>
      </c>
      <c r="KP37" t="b">
        <f t="shared" si="220"/>
        <v>0</v>
      </c>
      <c r="KQ37" t="b">
        <f t="shared" si="221"/>
        <v>0</v>
      </c>
      <c r="KR37">
        <f t="shared" ca="1" si="222"/>
        <v>0</v>
      </c>
      <c r="KS37" s="6">
        <f t="shared" ca="1" si="223"/>
        <v>1</v>
      </c>
      <c r="KT37">
        <f>MATCH(KT$2,Spieltage!$C$498:$C$506,0)+497</f>
        <v>499</v>
      </c>
      <c r="KU37" t="e">
        <f>MATCH(KT$2,Spieltage!$E$498:$E$506,0)+497</f>
        <v>#N/A</v>
      </c>
      <c r="KV37">
        <f t="shared" si="224"/>
        <v>499</v>
      </c>
      <c r="KW37">
        <f ca="1">INDIRECT("Spieltage!$F"&amp;'i2'!KV37)</f>
        <v>0</v>
      </c>
      <c r="KX37" s="35" t="s">
        <v>12</v>
      </c>
      <c r="KY37" s="97">
        <f ca="1">INDIRECT("Spieltage!$H"&amp;'i2'!KV37)</f>
        <v>0</v>
      </c>
      <c r="KZ37" t="str">
        <f t="shared" si="225"/>
        <v>H</v>
      </c>
      <c r="LA37">
        <f t="shared" si="226"/>
        <v>1</v>
      </c>
      <c r="LB37" t="b">
        <f t="shared" ca="1" si="227"/>
        <v>0</v>
      </c>
      <c r="LC37" t="b">
        <f t="shared" ca="1" si="228"/>
        <v>1</v>
      </c>
      <c r="LD37" t="b">
        <f t="shared" ca="1" si="229"/>
        <v>0</v>
      </c>
      <c r="LE37">
        <f t="shared" si="230"/>
        <v>0</v>
      </c>
      <c r="LF37">
        <f t="shared" si="231"/>
        <v>0</v>
      </c>
      <c r="LG37">
        <f t="shared" si="232"/>
        <v>0</v>
      </c>
      <c r="LH37">
        <f t="shared" ca="1" si="233"/>
        <v>0</v>
      </c>
      <c r="LI37">
        <f t="shared" ca="1" si="234"/>
        <v>0</v>
      </c>
      <c r="LJ37">
        <f t="shared" ca="1" si="235"/>
        <v>1</v>
      </c>
      <c r="LK37" t="b">
        <f t="shared" si="236"/>
        <v>0</v>
      </c>
      <c r="LL37" s="6" t="b">
        <f t="shared" si="237"/>
        <v>0</v>
      </c>
      <c r="LM37" t="e">
        <f>MATCH(LM$2,Spieltage!$C$498:$C$506,0)+497</f>
        <v>#N/A</v>
      </c>
      <c r="LN37">
        <f>MATCH(LM$2,Spieltage!$E$498:$E$506,0)+497</f>
        <v>502</v>
      </c>
      <c r="LO37">
        <f t="shared" si="238"/>
        <v>502</v>
      </c>
      <c r="LP37">
        <f ca="1">INDIRECT("Spieltage!$F"&amp;'i2'!LO37)</f>
        <v>0</v>
      </c>
      <c r="LQ37" s="35" t="s">
        <v>12</v>
      </c>
      <c r="LR37" s="97">
        <f ca="1">INDIRECT("Spieltage!$H"&amp;'i2'!LO37)</f>
        <v>0</v>
      </c>
      <c r="LS37" t="str">
        <f t="shared" si="239"/>
        <v>A</v>
      </c>
      <c r="LT37">
        <f t="shared" si="240"/>
        <v>2</v>
      </c>
      <c r="LU37">
        <f t="shared" si="241"/>
        <v>0</v>
      </c>
      <c r="LV37">
        <f t="shared" si="242"/>
        <v>0</v>
      </c>
      <c r="LW37">
        <f t="shared" si="243"/>
        <v>0</v>
      </c>
      <c r="LX37" t="b">
        <f t="shared" ca="1" si="244"/>
        <v>0</v>
      </c>
      <c r="LY37" t="b">
        <f t="shared" ca="1" si="245"/>
        <v>1</v>
      </c>
      <c r="LZ37" t="b">
        <f t="shared" ca="1" si="246"/>
        <v>0</v>
      </c>
      <c r="MA37">
        <f t="shared" ca="1" si="247"/>
        <v>0</v>
      </c>
      <c r="MB37" t="b">
        <f t="shared" si="248"/>
        <v>0</v>
      </c>
      <c r="MC37" t="b">
        <f t="shared" si="249"/>
        <v>0</v>
      </c>
      <c r="MD37">
        <f t="shared" ca="1" si="250"/>
        <v>0</v>
      </c>
      <c r="ME37" s="6">
        <f t="shared" ca="1" si="251"/>
        <v>1</v>
      </c>
    </row>
    <row r="38" spans="1:343" x14ac:dyDescent="0.2">
      <c r="J38">
        <f ca="1">COUNTIF(J4:J37,TRUE())</f>
        <v>0</v>
      </c>
      <c r="K38">
        <f ca="1">COUNTIF(K4:K37,TRUE())</f>
        <v>17</v>
      </c>
      <c r="M38">
        <f ca="1">COUNTIF(M4:M37,TRUE())</f>
        <v>0</v>
      </c>
      <c r="N38">
        <f ca="1">COUNTIF(N4:N37,TRUE())</f>
        <v>17</v>
      </c>
      <c r="P38">
        <f ca="1">COUNTIF(P4:P37,TRUE())</f>
        <v>0</v>
      </c>
      <c r="Q38">
        <f ca="1">SUM(Q4:Q37)</f>
        <v>0</v>
      </c>
      <c r="R38">
        <f ca="1">SUM(R4:R37)</f>
        <v>17</v>
      </c>
      <c r="S38">
        <f ca="1">SUM(S4:S37)</f>
        <v>0</v>
      </c>
      <c r="T38" s="6">
        <f ca="1">SUM(T4:T37)</f>
        <v>17</v>
      </c>
      <c r="AC38">
        <f ca="1">COUNTIF(AC4:AC37,TRUE())</f>
        <v>0</v>
      </c>
      <c r="AD38">
        <f ca="1">COUNTIF(AD4:AD37,TRUE())</f>
        <v>17</v>
      </c>
      <c r="AF38">
        <f ca="1">COUNTIF(AF4:AF37,TRUE())</f>
        <v>0</v>
      </c>
      <c r="AG38">
        <f ca="1">COUNTIF(AG4:AG37,TRUE())</f>
        <v>17</v>
      </c>
      <c r="AI38">
        <f ca="1">COUNTIF(AI4:AI37,TRUE())</f>
        <v>0</v>
      </c>
      <c r="AJ38">
        <f ca="1">SUM(AJ4:AJ37)</f>
        <v>0</v>
      </c>
      <c r="AK38">
        <f ca="1">SUM(AK4:AK37)</f>
        <v>17</v>
      </c>
      <c r="AL38">
        <f ca="1">SUM(AL4:AL37)</f>
        <v>0</v>
      </c>
      <c r="AM38" s="6">
        <f ca="1">SUM(AM4:AM37)</f>
        <v>17</v>
      </c>
      <c r="AV38">
        <f ca="1">COUNTIF(AV4:AV37,TRUE())</f>
        <v>0</v>
      </c>
      <c r="AW38">
        <f ca="1">COUNTIF(AW4:AW37,TRUE())</f>
        <v>17</v>
      </c>
      <c r="AY38">
        <f ca="1">COUNTIF(AY4:AY37,TRUE())</f>
        <v>0</v>
      </c>
      <c r="AZ38">
        <f ca="1">COUNTIF(AZ4:AZ37,TRUE())</f>
        <v>17</v>
      </c>
      <c r="BB38">
        <f ca="1">COUNTIF(BB4:BB37,TRUE())</f>
        <v>0</v>
      </c>
      <c r="BC38">
        <f ca="1">SUM(BC4:BC37)</f>
        <v>0</v>
      </c>
      <c r="BD38">
        <f ca="1">SUM(BD4:BD37)</f>
        <v>17</v>
      </c>
      <c r="BE38">
        <f ca="1">SUM(BE4:BE37)</f>
        <v>0</v>
      </c>
      <c r="BF38" s="6">
        <f ca="1">SUM(BF4:BF37)</f>
        <v>17</v>
      </c>
      <c r="BO38">
        <f ca="1">COUNTIF(BO4:BO37,TRUE())</f>
        <v>0</v>
      </c>
      <c r="BP38">
        <f ca="1">COUNTIF(BP4:BP37,TRUE())</f>
        <v>17</v>
      </c>
      <c r="BR38">
        <f ca="1">COUNTIF(BR4:BR37,TRUE())</f>
        <v>0</v>
      </c>
      <c r="BS38">
        <f ca="1">COUNTIF(BS4:BS37,TRUE())</f>
        <v>17</v>
      </c>
      <c r="BU38">
        <f ca="1">COUNTIF(BU4:BU37,TRUE())</f>
        <v>0</v>
      </c>
      <c r="BV38">
        <f ca="1">SUM(BV4:BV37)</f>
        <v>0</v>
      </c>
      <c r="BW38">
        <f ca="1">SUM(BW4:BW37)</f>
        <v>17</v>
      </c>
      <c r="BX38">
        <f ca="1">SUM(BX4:BX37)</f>
        <v>0</v>
      </c>
      <c r="BY38" s="6">
        <f ca="1">SUM(BY4:BY37)</f>
        <v>17</v>
      </c>
      <c r="CH38">
        <f ca="1">COUNTIF(CH4:CH37,TRUE())</f>
        <v>0</v>
      </c>
      <c r="CI38">
        <f ca="1">COUNTIF(CI4:CI37,TRUE())</f>
        <v>17</v>
      </c>
      <c r="CK38">
        <f ca="1">COUNTIF(CK4:CK37,TRUE())</f>
        <v>0</v>
      </c>
      <c r="CL38">
        <f ca="1">COUNTIF(CL4:CL37,TRUE())</f>
        <v>17</v>
      </c>
      <c r="CN38">
        <f ca="1">COUNTIF(CN4:CN37,TRUE())</f>
        <v>0</v>
      </c>
      <c r="CO38">
        <f ca="1">SUM(CO4:CO37)</f>
        <v>0</v>
      </c>
      <c r="CP38">
        <f ca="1">SUM(CP4:CP37)</f>
        <v>17</v>
      </c>
      <c r="CQ38">
        <f ca="1">SUM(CQ4:CQ37)</f>
        <v>0</v>
      </c>
      <c r="CR38" s="6">
        <f ca="1">SUM(CR4:CR37)</f>
        <v>17</v>
      </c>
      <c r="DA38">
        <f ca="1">COUNTIF(DA4:DA37,TRUE())</f>
        <v>0</v>
      </c>
      <c r="DB38">
        <f ca="1">COUNTIF(DB4:DB37,TRUE())</f>
        <v>17</v>
      </c>
      <c r="DD38">
        <f ca="1">COUNTIF(DD4:DD37,TRUE())</f>
        <v>0</v>
      </c>
      <c r="DE38">
        <f ca="1">COUNTIF(DE4:DE37,TRUE())</f>
        <v>17</v>
      </c>
      <c r="DG38">
        <f ca="1">COUNTIF(DG4:DG37,TRUE())</f>
        <v>0</v>
      </c>
      <c r="DH38">
        <f ca="1">SUM(DH4:DH37)</f>
        <v>0</v>
      </c>
      <c r="DI38">
        <f ca="1">SUM(DI4:DI37)</f>
        <v>17</v>
      </c>
      <c r="DJ38">
        <f ca="1">SUM(DJ4:DJ37)</f>
        <v>0</v>
      </c>
      <c r="DK38" s="6">
        <f ca="1">SUM(DK4:DK37)</f>
        <v>17</v>
      </c>
      <c r="DT38">
        <f ca="1">COUNTIF(DT4:DT37,TRUE())</f>
        <v>0</v>
      </c>
      <c r="DU38">
        <f ca="1">COUNTIF(DU4:DU37,TRUE())</f>
        <v>17</v>
      </c>
      <c r="DW38">
        <f ca="1">COUNTIF(DW4:DW37,TRUE())</f>
        <v>0</v>
      </c>
      <c r="DX38">
        <f ca="1">COUNTIF(DX4:DX37,TRUE())</f>
        <v>17</v>
      </c>
      <c r="DZ38">
        <f ca="1">COUNTIF(DZ4:DZ37,TRUE())</f>
        <v>0</v>
      </c>
      <c r="EA38">
        <f ca="1">SUM(EA4:EA37)</f>
        <v>0</v>
      </c>
      <c r="EB38">
        <f ca="1">SUM(EB4:EB37)</f>
        <v>17</v>
      </c>
      <c r="EC38">
        <f ca="1">SUM(EC4:EC37)</f>
        <v>0</v>
      </c>
      <c r="ED38" s="6">
        <f ca="1">SUM(ED4:ED37)</f>
        <v>17</v>
      </c>
      <c r="EM38">
        <f ca="1">COUNTIF(EM4:EM37,TRUE())</f>
        <v>0</v>
      </c>
      <c r="EN38">
        <f ca="1">COUNTIF(EN4:EN37,TRUE())</f>
        <v>17</v>
      </c>
      <c r="EP38">
        <f ca="1">COUNTIF(EP4:EP37,TRUE())</f>
        <v>0</v>
      </c>
      <c r="EQ38">
        <f ca="1">COUNTIF(EQ4:EQ37,TRUE())</f>
        <v>17</v>
      </c>
      <c r="ES38">
        <f ca="1">COUNTIF(ES4:ES37,TRUE())</f>
        <v>0</v>
      </c>
      <c r="ET38">
        <f ca="1">SUM(ET4:ET37)</f>
        <v>0</v>
      </c>
      <c r="EU38">
        <f ca="1">SUM(EU4:EU37)</f>
        <v>17</v>
      </c>
      <c r="EV38">
        <f ca="1">SUM(EV4:EV37)</f>
        <v>0</v>
      </c>
      <c r="EW38" s="6">
        <f ca="1">SUM(EW4:EW37)</f>
        <v>17</v>
      </c>
      <c r="FF38">
        <f ca="1">COUNTIF(FF4:FF37,TRUE())</f>
        <v>0</v>
      </c>
      <c r="FG38">
        <f ca="1">COUNTIF(FG4:FG37,TRUE())</f>
        <v>17</v>
      </c>
      <c r="FI38">
        <f ca="1">COUNTIF(FI4:FI37,TRUE())</f>
        <v>0</v>
      </c>
      <c r="FJ38">
        <f ca="1">COUNTIF(FJ4:FJ37,TRUE())</f>
        <v>17</v>
      </c>
      <c r="FL38">
        <f ca="1">COUNTIF(FL4:FL37,TRUE())</f>
        <v>0</v>
      </c>
      <c r="FM38">
        <f ca="1">SUM(FM4:FM37)</f>
        <v>0</v>
      </c>
      <c r="FN38">
        <f ca="1">SUM(FN4:FN37)</f>
        <v>17</v>
      </c>
      <c r="FO38">
        <f ca="1">SUM(FO4:FO37)</f>
        <v>0</v>
      </c>
      <c r="FP38" s="6">
        <f ca="1">SUM(FP4:FP37)</f>
        <v>17</v>
      </c>
      <c r="FU38" s="35"/>
      <c r="FV38" s="97"/>
      <c r="FY38">
        <f ca="1">COUNTIF(FY4:FY37,TRUE())</f>
        <v>0</v>
      </c>
      <c r="FZ38">
        <f ca="1">COUNTIF(FZ4:FZ37,TRUE())</f>
        <v>17</v>
      </c>
      <c r="GB38">
        <f ca="1">COUNTIF(GB4:GB37,TRUE())</f>
        <v>0</v>
      </c>
      <c r="GC38">
        <f ca="1">COUNTIF(GC4:GC37,TRUE())</f>
        <v>17</v>
      </c>
      <c r="GE38">
        <f ca="1">COUNTIF(GE4:GE37,TRUE())</f>
        <v>0</v>
      </c>
      <c r="GF38">
        <f ca="1">SUM(GF4:GF37)</f>
        <v>0</v>
      </c>
      <c r="GG38">
        <f ca="1">SUM(GG4:GG37)</f>
        <v>17</v>
      </c>
      <c r="GH38">
        <f ca="1">SUM(GH4:GH37)</f>
        <v>0</v>
      </c>
      <c r="GI38" s="6">
        <f ca="1">SUM(GI4:GI37)</f>
        <v>17</v>
      </c>
      <c r="GO38" s="97"/>
      <c r="GR38">
        <f ca="1">COUNTIF(GR4:GR37,TRUE())</f>
        <v>0</v>
      </c>
      <c r="GS38">
        <f ca="1">COUNTIF(GS4:GS37,TRUE())</f>
        <v>17</v>
      </c>
      <c r="GU38">
        <f ca="1">COUNTIF(GU4:GU37,TRUE())</f>
        <v>0</v>
      </c>
      <c r="GV38">
        <f ca="1">COUNTIF(GV4:GV37,TRUE())</f>
        <v>17</v>
      </c>
      <c r="GX38">
        <f ca="1">COUNTIF(GX4:GX37,TRUE())</f>
        <v>0</v>
      </c>
      <c r="GY38">
        <f ca="1">SUM(GY4:GY37)</f>
        <v>0</v>
      </c>
      <c r="GZ38">
        <f ca="1">SUM(GZ4:GZ37)</f>
        <v>17</v>
      </c>
      <c r="HA38">
        <f ca="1">SUM(HA4:HA37)</f>
        <v>0</v>
      </c>
      <c r="HB38" s="6">
        <f ca="1">SUM(HB4:HB37)</f>
        <v>17</v>
      </c>
      <c r="HH38" s="97"/>
      <c r="HK38">
        <f ca="1">COUNTIF(HK4:HK37,TRUE())</f>
        <v>0</v>
      </c>
      <c r="HL38">
        <f ca="1">COUNTIF(HL4:HL37,TRUE())</f>
        <v>17</v>
      </c>
      <c r="HN38">
        <f ca="1">COUNTIF(HN4:HN37,TRUE())</f>
        <v>0</v>
      </c>
      <c r="HO38">
        <f ca="1">COUNTIF(HO4:HO37,TRUE())</f>
        <v>17</v>
      </c>
      <c r="HQ38">
        <f ca="1">COUNTIF(HQ4:HQ37,TRUE())</f>
        <v>0</v>
      </c>
      <c r="HR38">
        <f ca="1">SUM(HR4:HR37)</f>
        <v>0</v>
      </c>
      <c r="HS38">
        <f ca="1">SUM(HS4:HS37)</f>
        <v>17</v>
      </c>
      <c r="HT38">
        <f ca="1">SUM(HT4:HT37)</f>
        <v>0</v>
      </c>
      <c r="HU38" s="6">
        <f ca="1">SUM(HU4:HU37)</f>
        <v>17</v>
      </c>
      <c r="IA38" s="97"/>
      <c r="ID38">
        <f ca="1">COUNTIF(ID4:ID37,TRUE())</f>
        <v>0</v>
      </c>
      <c r="IE38">
        <f ca="1">COUNTIF(IE4:IE37,TRUE())</f>
        <v>17</v>
      </c>
      <c r="IG38">
        <f ca="1">COUNTIF(IG4:IG37,TRUE())</f>
        <v>0</v>
      </c>
      <c r="IH38">
        <f ca="1">COUNTIF(IH4:IH37,TRUE())</f>
        <v>17</v>
      </c>
      <c r="IJ38">
        <f ca="1">COUNTIF(IJ4:IJ37,TRUE())</f>
        <v>0</v>
      </c>
      <c r="IK38">
        <f ca="1">SUM(IK4:IK37)</f>
        <v>0</v>
      </c>
      <c r="IL38">
        <f ca="1">SUM(IL4:IL37)</f>
        <v>17</v>
      </c>
      <c r="IM38">
        <f ca="1">SUM(IM4:IM37)</f>
        <v>0</v>
      </c>
      <c r="IN38" s="6">
        <f ca="1">SUM(IN4:IN37)</f>
        <v>17</v>
      </c>
      <c r="IT38" s="97"/>
      <c r="IW38">
        <f ca="1">COUNTIF(IW4:IW37,TRUE())</f>
        <v>0</v>
      </c>
      <c r="IX38">
        <f ca="1">COUNTIF(IX4:IX37,TRUE())</f>
        <v>17</v>
      </c>
      <c r="IZ38">
        <f ca="1">COUNTIF(IZ4:IZ37,TRUE())</f>
        <v>0</v>
      </c>
      <c r="JA38">
        <f ca="1">COUNTIF(JA4:JA37,TRUE())</f>
        <v>17</v>
      </c>
      <c r="JC38">
        <f ca="1">COUNTIF(JC4:JC37,TRUE())</f>
        <v>0</v>
      </c>
      <c r="JD38">
        <f ca="1">SUM(JD4:JD37)</f>
        <v>0</v>
      </c>
      <c r="JE38">
        <f ca="1">SUM(JE4:JE37)</f>
        <v>17</v>
      </c>
      <c r="JF38">
        <f ca="1">SUM(JF4:JF37)</f>
        <v>0</v>
      </c>
      <c r="JG38" s="6">
        <f ca="1">SUM(JG4:JG37)</f>
        <v>17</v>
      </c>
      <c r="JM38" s="97"/>
      <c r="JP38">
        <f ca="1">COUNTIF(JP4:JP37,TRUE())</f>
        <v>0</v>
      </c>
      <c r="JQ38">
        <f ca="1">COUNTIF(JQ4:JQ37,TRUE())</f>
        <v>17</v>
      </c>
      <c r="JS38">
        <f ca="1">COUNTIF(JS4:JS37,TRUE())</f>
        <v>0</v>
      </c>
      <c r="JT38">
        <f ca="1">COUNTIF(JT4:JT37,TRUE())</f>
        <v>17</v>
      </c>
      <c r="JV38">
        <f ca="1">COUNTIF(JV4:JV37,TRUE())</f>
        <v>0</v>
      </c>
      <c r="JW38">
        <f ca="1">SUM(JW4:JW37)</f>
        <v>0</v>
      </c>
      <c r="JX38">
        <f ca="1">SUM(JX4:JX37)</f>
        <v>17</v>
      </c>
      <c r="JY38">
        <f ca="1">SUM(JY4:JY37)</f>
        <v>0</v>
      </c>
      <c r="JZ38" s="6">
        <f ca="1">SUM(JZ4:JZ37)</f>
        <v>17</v>
      </c>
      <c r="KF38" s="97"/>
      <c r="KI38">
        <f ca="1">COUNTIF(KI4:KI37,TRUE())</f>
        <v>0</v>
      </c>
      <c r="KJ38">
        <f ca="1">COUNTIF(KJ4:KJ37,TRUE())</f>
        <v>17</v>
      </c>
      <c r="KL38">
        <f ca="1">COUNTIF(KL4:KL37,TRUE())</f>
        <v>0</v>
      </c>
      <c r="KM38">
        <f ca="1">COUNTIF(KM4:KM37,TRUE())</f>
        <v>17</v>
      </c>
      <c r="KO38">
        <f ca="1">COUNTIF(KO4:KO37,TRUE())</f>
        <v>0</v>
      </c>
      <c r="KP38">
        <f ca="1">SUM(KP4:KP37)</f>
        <v>0</v>
      </c>
      <c r="KQ38">
        <f ca="1">SUM(KQ4:KQ37)</f>
        <v>17</v>
      </c>
      <c r="KR38">
        <f ca="1">SUM(KR4:KR37)</f>
        <v>0</v>
      </c>
      <c r="KS38" s="6">
        <f ca="1">SUM(KS4:KS37)</f>
        <v>17</v>
      </c>
      <c r="KY38" s="97"/>
      <c r="LB38">
        <f ca="1">COUNTIF(LB4:LB37,TRUE())</f>
        <v>0</v>
      </c>
      <c r="LC38">
        <f ca="1">COUNTIF(LC4:LC37,TRUE())</f>
        <v>17</v>
      </c>
      <c r="LE38">
        <f ca="1">COUNTIF(LE4:LE37,TRUE())</f>
        <v>0</v>
      </c>
      <c r="LF38">
        <f ca="1">COUNTIF(LF4:LF37,TRUE())</f>
        <v>17</v>
      </c>
      <c r="LH38">
        <f ca="1">COUNTIF(LH4:LH37,TRUE())</f>
        <v>0</v>
      </c>
      <c r="LI38">
        <f ca="1">SUM(LI4:LI37)</f>
        <v>0</v>
      </c>
      <c r="LJ38">
        <f ca="1">SUM(LJ4:LJ37)</f>
        <v>17</v>
      </c>
      <c r="LK38">
        <f ca="1">SUM(LK4:LK37)</f>
        <v>0</v>
      </c>
      <c r="LL38" s="6">
        <f ca="1">SUM(LL4:LL37)</f>
        <v>17</v>
      </c>
      <c r="LR38" s="97"/>
      <c r="LU38">
        <f ca="1">COUNTIF(LU4:LU37,TRUE())</f>
        <v>0</v>
      </c>
      <c r="LV38">
        <f ca="1">COUNTIF(LV4:LV37,TRUE())</f>
        <v>17</v>
      </c>
      <c r="LX38">
        <f ca="1">COUNTIF(LX4:LX37,TRUE())</f>
        <v>0</v>
      </c>
      <c r="LY38">
        <f ca="1">COUNTIF(LY4:LY37,TRUE())</f>
        <v>17</v>
      </c>
      <c r="MA38">
        <f ca="1">COUNTIF(MA4:MA37,TRUE())</f>
        <v>0</v>
      </c>
      <c r="MB38">
        <f ca="1">SUM(MB4:MB37)</f>
        <v>0</v>
      </c>
      <c r="MC38">
        <f ca="1">SUM(MC4:MC37)</f>
        <v>17</v>
      </c>
      <c r="MD38">
        <f ca="1">SUM(MD4:MD37)</f>
        <v>0</v>
      </c>
      <c r="ME38" s="6">
        <f ca="1">SUM(ME4:ME37)</f>
        <v>17</v>
      </c>
    </row>
    <row r="39" spans="1:343" x14ac:dyDescent="0.2">
      <c r="J39">
        <f ca="1">J38*3</f>
        <v>0</v>
      </c>
      <c r="K39">
        <f ca="1">K38</f>
        <v>17</v>
      </c>
      <c r="M39">
        <f ca="1">M38*3</f>
        <v>0</v>
      </c>
      <c r="N39">
        <f ca="1">N38</f>
        <v>17</v>
      </c>
      <c r="AC39">
        <f ca="1">AC38*3</f>
        <v>0</v>
      </c>
      <c r="AD39">
        <f ca="1">AD38</f>
        <v>17</v>
      </c>
      <c r="AF39">
        <f ca="1">AF38*3</f>
        <v>0</v>
      </c>
      <c r="AG39">
        <f ca="1">AG38</f>
        <v>17</v>
      </c>
      <c r="AV39">
        <f ca="1">AV38*3</f>
        <v>0</v>
      </c>
      <c r="AW39">
        <f ca="1">AW38</f>
        <v>17</v>
      </c>
      <c r="AY39">
        <f ca="1">AY38*3</f>
        <v>0</v>
      </c>
      <c r="AZ39">
        <f ca="1">AZ38</f>
        <v>17</v>
      </c>
      <c r="BO39">
        <f ca="1">BO38*3</f>
        <v>0</v>
      </c>
      <c r="BP39">
        <f ca="1">BP38</f>
        <v>17</v>
      </c>
      <c r="BR39">
        <f ca="1">BR38*3</f>
        <v>0</v>
      </c>
      <c r="BS39">
        <f ca="1">BS38</f>
        <v>17</v>
      </c>
      <c r="CH39">
        <f ca="1">CH38*3</f>
        <v>0</v>
      </c>
      <c r="CI39">
        <f ca="1">CI38</f>
        <v>17</v>
      </c>
      <c r="CK39">
        <f ca="1">CK38*3</f>
        <v>0</v>
      </c>
      <c r="CL39">
        <f ca="1">CL38</f>
        <v>17</v>
      </c>
      <c r="DA39">
        <f ca="1">DA38*3</f>
        <v>0</v>
      </c>
      <c r="DB39">
        <f ca="1">DB38</f>
        <v>17</v>
      </c>
      <c r="DD39">
        <f ca="1">DD38*3</f>
        <v>0</v>
      </c>
      <c r="DE39">
        <f ca="1">DE38</f>
        <v>17</v>
      </c>
      <c r="DT39">
        <f ca="1">DT38*3</f>
        <v>0</v>
      </c>
      <c r="DU39">
        <f ca="1">DU38</f>
        <v>17</v>
      </c>
      <c r="DW39">
        <f ca="1">DW38*3</f>
        <v>0</v>
      </c>
      <c r="DX39">
        <f ca="1">DX38</f>
        <v>17</v>
      </c>
      <c r="EM39">
        <f ca="1">EM38*3</f>
        <v>0</v>
      </c>
      <c r="EN39">
        <f ca="1">EN38</f>
        <v>17</v>
      </c>
      <c r="EP39">
        <f ca="1">EP38*3</f>
        <v>0</v>
      </c>
      <c r="EQ39">
        <f ca="1">EQ38</f>
        <v>17</v>
      </c>
      <c r="FF39">
        <f ca="1">FF38*3</f>
        <v>0</v>
      </c>
      <c r="FG39">
        <f ca="1">FG38</f>
        <v>17</v>
      </c>
      <c r="FI39">
        <f ca="1">FI38*3</f>
        <v>0</v>
      </c>
      <c r="FJ39">
        <f ca="1">FJ38</f>
        <v>17</v>
      </c>
      <c r="FU39" s="35"/>
      <c r="FV39" s="97"/>
      <c r="FY39">
        <f ca="1">FY38*3</f>
        <v>0</v>
      </c>
      <c r="FZ39">
        <f ca="1">FZ38</f>
        <v>17</v>
      </c>
      <c r="GB39">
        <f ca="1">GB38*3</f>
        <v>0</v>
      </c>
      <c r="GC39">
        <f ca="1">GC38</f>
        <v>17</v>
      </c>
      <c r="GO39" s="97"/>
      <c r="GR39">
        <f ca="1">GR38*3</f>
        <v>0</v>
      </c>
      <c r="GS39">
        <f ca="1">GS38</f>
        <v>17</v>
      </c>
      <c r="GU39">
        <f ca="1">GU38*3</f>
        <v>0</v>
      </c>
      <c r="GV39">
        <f ca="1">GV38</f>
        <v>17</v>
      </c>
      <c r="HH39" s="97"/>
      <c r="HK39">
        <f ca="1">HK38*3</f>
        <v>0</v>
      </c>
      <c r="HL39">
        <f ca="1">HL38</f>
        <v>17</v>
      </c>
      <c r="HN39">
        <f ca="1">HN38*3</f>
        <v>0</v>
      </c>
      <c r="HO39">
        <f ca="1">HO38</f>
        <v>17</v>
      </c>
      <c r="IA39" s="97"/>
      <c r="ID39">
        <f ca="1">ID38*3</f>
        <v>0</v>
      </c>
      <c r="IE39">
        <f ca="1">IE38</f>
        <v>17</v>
      </c>
      <c r="IG39">
        <f ca="1">IG38*3</f>
        <v>0</v>
      </c>
      <c r="IH39">
        <f ca="1">IH38</f>
        <v>17</v>
      </c>
      <c r="IT39" s="97"/>
      <c r="IW39">
        <f ca="1">IW38*3</f>
        <v>0</v>
      </c>
      <c r="IX39">
        <f ca="1">IX38</f>
        <v>17</v>
      </c>
      <c r="IZ39">
        <f ca="1">IZ38*3</f>
        <v>0</v>
      </c>
      <c r="JA39">
        <f ca="1">JA38</f>
        <v>17</v>
      </c>
      <c r="JM39" s="97"/>
      <c r="JP39">
        <f ca="1">JP38*3</f>
        <v>0</v>
      </c>
      <c r="JQ39">
        <f ca="1">JQ38</f>
        <v>17</v>
      </c>
      <c r="JS39">
        <f ca="1">JS38*3</f>
        <v>0</v>
      </c>
      <c r="JT39">
        <f ca="1">JT38</f>
        <v>17</v>
      </c>
      <c r="KF39" s="97"/>
      <c r="KI39">
        <f ca="1">KI38*3</f>
        <v>0</v>
      </c>
      <c r="KJ39">
        <f ca="1">KJ38</f>
        <v>17</v>
      </c>
      <c r="KL39">
        <f ca="1">KL38*3</f>
        <v>0</v>
      </c>
      <c r="KM39">
        <f ca="1">KM38</f>
        <v>17</v>
      </c>
      <c r="KY39" s="97"/>
      <c r="LB39">
        <f ca="1">LB38*3</f>
        <v>0</v>
      </c>
      <c r="LC39">
        <f ca="1">LC38</f>
        <v>17</v>
      </c>
      <c r="LE39">
        <f ca="1">LE38*3</f>
        <v>0</v>
      </c>
      <c r="LF39">
        <f ca="1">LF38</f>
        <v>17</v>
      </c>
      <c r="LR39" s="97"/>
      <c r="LU39">
        <f ca="1">LU38*3</f>
        <v>0</v>
      </c>
      <c r="LV39">
        <f ca="1">LV38</f>
        <v>17</v>
      </c>
      <c r="LX39">
        <f ca="1">LX38*3</f>
        <v>0</v>
      </c>
      <c r="LY39">
        <f ca="1">LY38</f>
        <v>17</v>
      </c>
    </row>
    <row r="40" spans="1:343" x14ac:dyDescent="0.2">
      <c r="AQ40" s="5"/>
    </row>
    <row r="41" spans="1:343" x14ac:dyDescent="0.2">
      <c r="D41" t="s">
        <v>8</v>
      </c>
      <c r="I41" t="s">
        <v>246</v>
      </c>
      <c r="U41" s="100" t="str">
        <f>B2</f>
        <v>Bayern</v>
      </c>
      <c r="V41" s="118"/>
      <c r="W41" s="100" t="str">
        <f>U2</f>
        <v>Leipzig</v>
      </c>
      <c r="X41" s="118"/>
      <c r="Y41" s="100" t="str">
        <f>AN2</f>
        <v>Leverk.</v>
      </c>
      <c r="Z41" s="129"/>
      <c r="AA41" s="100" t="str">
        <f>BG2</f>
        <v>Hoffenheim</v>
      </c>
      <c r="AB41" s="118"/>
      <c r="AC41" s="100" t="str">
        <f>BZ2</f>
        <v>Frankfurt</v>
      </c>
      <c r="AD41" s="118"/>
      <c r="AE41" s="100" t="str">
        <f>CS2</f>
        <v>Werder</v>
      </c>
      <c r="AF41" s="118"/>
      <c r="AG41" s="100" t="str">
        <f>DL2</f>
        <v>Freiburg</v>
      </c>
      <c r="AH41" s="118"/>
      <c r="AI41" s="100" t="str">
        <f>EE2</f>
        <v>Augsburg</v>
      </c>
      <c r="AJ41" s="118"/>
      <c r="AK41" s="100" t="str">
        <f>EX2</f>
        <v>Mainz</v>
      </c>
      <c r="AL41" s="118"/>
      <c r="AM41" s="100" t="str">
        <f>FQ2</f>
        <v>Köln</v>
      </c>
      <c r="AN41" s="118"/>
      <c r="AO41" s="100" t="str">
        <f>GJ2</f>
        <v>M'gladb.</v>
      </c>
      <c r="AP41" s="118"/>
      <c r="AQ41" s="100" t="str">
        <f>HC2</f>
        <v>HSV</v>
      </c>
      <c r="AR41" s="118"/>
      <c r="AS41" s="2" t="str">
        <f>HV2</f>
        <v>Union</v>
      </c>
      <c r="AT41" s="118"/>
      <c r="AU41" s="100" t="str">
        <f>IO2</f>
        <v>Stuttgart</v>
      </c>
      <c r="AV41" s="118"/>
      <c r="AW41" s="100" t="str">
        <f>JH2</f>
        <v>St. Pauli</v>
      </c>
      <c r="AX41" s="118"/>
      <c r="AY41" s="100" t="str">
        <f>KA2</f>
        <v>Dortmund</v>
      </c>
      <c r="AZ41" s="118"/>
      <c r="BA41" s="100" t="str">
        <f>KT2</f>
        <v>Heidenheim</v>
      </c>
      <c r="BB41" s="118"/>
      <c r="BC41" s="100" t="str">
        <f>LM2</f>
        <v>Wolfsburg</v>
      </c>
      <c r="BD41" s="6"/>
    </row>
    <row r="42" spans="1:343" x14ac:dyDescent="0.2">
      <c r="D42" s="100" t="s">
        <v>201</v>
      </c>
      <c r="E42" s="100" t="s">
        <v>247</v>
      </c>
      <c r="F42" s="2" t="s">
        <v>248</v>
      </c>
      <c r="I42" s="100" t="s">
        <v>201</v>
      </c>
      <c r="J42" s="100" t="s">
        <v>247</v>
      </c>
      <c r="K42" s="100" t="s">
        <v>248</v>
      </c>
      <c r="U42" s="100" t="s">
        <v>27</v>
      </c>
      <c r="V42" s="118" t="s">
        <v>28</v>
      </c>
      <c r="W42" s="100" t="s">
        <v>27</v>
      </c>
      <c r="X42" s="118" t="s">
        <v>28</v>
      </c>
      <c r="Y42" s="100" t="s">
        <v>27</v>
      </c>
      <c r="Z42" s="118" t="s">
        <v>28</v>
      </c>
      <c r="AA42" s="100" t="s">
        <v>27</v>
      </c>
      <c r="AB42" s="118" t="s">
        <v>28</v>
      </c>
      <c r="AC42" s="100" t="s">
        <v>27</v>
      </c>
      <c r="AD42" s="118" t="s">
        <v>28</v>
      </c>
      <c r="AE42" s="100" t="s">
        <v>27</v>
      </c>
      <c r="AF42" s="118" t="s">
        <v>28</v>
      </c>
      <c r="AG42" s="100" t="s">
        <v>27</v>
      </c>
      <c r="AH42" s="118" t="s">
        <v>28</v>
      </c>
      <c r="AI42" s="100" t="s">
        <v>27</v>
      </c>
      <c r="AJ42" s="118" t="s">
        <v>28</v>
      </c>
      <c r="AK42" s="100" t="s">
        <v>27</v>
      </c>
      <c r="AL42" s="118" t="s">
        <v>28</v>
      </c>
      <c r="AM42" s="100" t="s">
        <v>27</v>
      </c>
      <c r="AN42" s="118" t="s">
        <v>28</v>
      </c>
      <c r="AO42" s="100" t="s">
        <v>27</v>
      </c>
      <c r="AP42" s="118" t="s">
        <v>28</v>
      </c>
      <c r="AQ42" s="100" t="s">
        <v>27</v>
      </c>
      <c r="AR42" s="118" t="s">
        <v>28</v>
      </c>
      <c r="AS42" s="100" t="s">
        <v>27</v>
      </c>
      <c r="AT42" s="118" t="s">
        <v>28</v>
      </c>
      <c r="AU42" s="100" t="s">
        <v>27</v>
      </c>
      <c r="AV42" s="118" t="s">
        <v>28</v>
      </c>
      <c r="AW42" s="100" t="s">
        <v>27</v>
      </c>
      <c r="AX42" s="118" t="s">
        <v>28</v>
      </c>
      <c r="AY42" s="100" t="s">
        <v>27</v>
      </c>
      <c r="AZ42" s="118" t="s">
        <v>28</v>
      </c>
      <c r="BA42" s="100" t="s">
        <v>27</v>
      </c>
      <c r="BB42" s="118" t="s">
        <v>28</v>
      </c>
      <c r="BC42" s="100" t="s">
        <v>27</v>
      </c>
      <c r="BD42" s="118" t="s">
        <v>28</v>
      </c>
    </row>
    <row r="43" spans="1:343" x14ac:dyDescent="0.2">
      <c r="A43" t="str">
        <f>B2</f>
        <v>Bayern</v>
      </c>
      <c r="D43" t="e">
        <f ca="1">SUM(Q38:T38)-(34-#REF!)</f>
        <v>#REF!</v>
      </c>
      <c r="E43">
        <f ca="1">SUM(J39:N39)-(34-'i1'!B41)</f>
        <v>0</v>
      </c>
      <c r="F43" s="104" t="e">
        <f t="shared" ref="F43:F60" ca="1" si="252">D43-E43</f>
        <v>#REF!</v>
      </c>
      <c r="G43" s="97" t="e">
        <f t="shared" ref="G43:G60" ca="1" si="253">F43*F43</f>
        <v>#REF!</v>
      </c>
      <c r="H43" t="e">
        <f t="shared" ref="H43:H60" ca="1" si="254">SQRT(G43)</f>
        <v>#REF!</v>
      </c>
      <c r="I43" t="e">
        <f t="shared" ref="I43:I60" ca="1" si="255">RANK(D43,D$43:D$60)</f>
        <v>#REF!</v>
      </c>
      <c r="J43">
        <f>(Spieltage!DS1)+1</f>
        <v>18</v>
      </c>
      <c r="K43" t="e">
        <f t="shared" ref="K43:K60" ca="1" si="256">I43-J43</f>
        <v>#REF!</v>
      </c>
      <c r="L43" t="e">
        <f t="shared" ref="L43:L60" ca="1" si="257">K43*K43</f>
        <v>#REF!</v>
      </c>
      <c r="M43" t="e">
        <f t="shared" ref="M43:M60" ca="1" si="258">SQRT(L43)</f>
        <v>#REF!</v>
      </c>
      <c r="T43" s="100">
        <v>1</v>
      </c>
      <c r="U43">
        <f t="shared" ref="U43:U76" ca="1" si="259">IF(I4=1,E4,G4)</f>
        <v>0</v>
      </c>
      <c r="V43" s="6">
        <f t="shared" ref="V43:V76" ca="1" si="260">IF(I4=1,G4,E4)</f>
        <v>0</v>
      </c>
      <c r="W43">
        <f t="shared" ref="W43:W76" ca="1" si="261">IF(AB4=1,X4,Z4)</f>
        <v>0</v>
      </c>
      <c r="X43" s="6">
        <f t="shared" ref="X43:X76" ca="1" si="262">IF(AB4=1,Z4,X4)</f>
        <v>0</v>
      </c>
      <c r="Y43">
        <f t="shared" ref="Y43:Y76" ca="1" si="263">IF(AU4=1,AQ4,AS4)</f>
        <v>0</v>
      </c>
      <c r="Z43" s="6">
        <f t="shared" ref="Z43:Z76" ca="1" si="264">IF(AU4=1,AS4,AQ4)</f>
        <v>0</v>
      </c>
      <c r="AA43">
        <f t="shared" ref="AA43:AA76" ca="1" si="265">IF(BN4=1,BJ4,BL4)</f>
        <v>0</v>
      </c>
      <c r="AB43" s="6">
        <f t="shared" ref="AB43:AB76" ca="1" si="266">IF(BN4=1,BL4,BJ4)</f>
        <v>0</v>
      </c>
      <c r="AC43">
        <f t="shared" ref="AC43:AC76" ca="1" si="267">IF(CG4=1,CC4,CE4)</f>
        <v>0</v>
      </c>
      <c r="AD43" s="6">
        <f t="shared" ref="AD43:AD76" ca="1" si="268">IF(CG4=1,CE4,CC4)</f>
        <v>0</v>
      </c>
      <c r="AE43">
        <f t="shared" ref="AE43:AE76" ca="1" si="269">IF(CZ4=1,CV4,CX4)</f>
        <v>0</v>
      </c>
      <c r="AF43" s="6">
        <f t="shared" ref="AF43:AF76" ca="1" si="270">IF(CZ4=1,CX4,CV4)</f>
        <v>0</v>
      </c>
      <c r="AG43">
        <f t="shared" ref="AG43:AG76" ca="1" si="271">IF(DS4=1,DO4,DQ4)</f>
        <v>0</v>
      </c>
      <c r="AH43" s="6">
        <f t="shared" ref="AH43:AH76" ca="1" si="272">IF(DS4=1,DQ4,DO4)</f>
        <v>0</v>
      </c>
      <c r="AI43">
        <f t="shared" ref="AI43:AI76" ca="1" si="273">IF(EL4=1,EH4,EJ4)</f>
        <v>0</v>
      </c>
      <c r="AJ43" s="6">
        <f t="shared" ref="AJ43:AJ76" ca="1" si="274">IF(EL4=1,EJ4,EH4)</f>
        <v>0</v>
      </c>
      <c r="AK43">
        <f t="shared" ref="AK43:AK76" ca="1" si="275">IF(FE4=1,FA4,FC4)</f>
        <v>0</v>
      </c>
      <c r="AL43" s="6">
        <f t="shared" ref="AL43:AL76" ca="1" si="276">IF(FE4=1,FC4,FA4)</f>
        <v>0</v>
      </c>
      <c r="AM43">
        <f t="shared" ref="AM43:AM76" ca="1" si="277">IF(FX4=1,FT4,FV4)</f>
        <v>0</v>
      </c>
      <c r="AN43" s="6">
        <f t="shared" ref="AN43:AN76" ca="1" si="278">IF(FX4=1,FV4,FT4)</f>
        <v>0</v>
      </c>
      <c r="AO43">
        <f t="shared" ref="AO43:AO76" ca="1" si="279">IF(GQ4=1,GM4,GO4)</f>
        <v>0</v>
      </c>
      <c r="AP43" s="6">
        <f t="shared" ref="AP43:AP76" ca="1" si="280">IF(GQ4=1,GO4,GM4)</f>
        <v>0</v>
      </c>
      <c r="AQ43">
        <f t="shared" ref="AQ43:AQ76" ca="1" si="281">IF(HJ4=1,HF4,HH4)</f>
        <v>0</v>
      </c>
      <c r="AR43" s="6">
        <f t="shared" ref="AR43:AR76" ca="1" si="282">IF(HJ4=1,HH4,HF4)</f>
        <v>0</v>
      </c>
      <c r="AS43" s="97">
        <f t="shared" ref="AS43:AS76" ca="1" si="283">IF(IC4=1,HY4,IA4)</f>
        <v>0</v>
      </c>
      <c r="AT43" s="6">
        <f t="shared" ref="AT43:AT76" ca="1" si="284">IF(IC4=1,IA4,HY4)</f>
        <v>0</v>
      </c>
      <c r="AU43">
        <f t="shared" ref="AU43:AU76" ca="1" si="285">IF(IV4=1,IR4,IT4)</f>
        <v>0</v>
      </c>
      <c r="AV43" s="6">
        <f t="shared" ref="AV43:AV76" ca="1" si="286">IF(IV4=1,IT4,IR4)</f>
        <v>0</v>
      </c>
      <c r="AW43">
        <f t="shared" ref="AW43:AW76" ca="1" si="287">IF(JO4=1,JK4,JM4)</f>
        <v>0</v>
      </c>
      <c r="AX43" s="6">
        <f t="shared" ref="AX43:AX76" ca="1" si="288">IF(JO4=1,JM4,JK4)</f>
        <v>0</v>
      </c>
      <c r="AY43">
        <f t="shared" ref="AY43:AY76" ca="1" si="289">IF(KH4=1,KD4,KF4)</f>
        <v>0</v>
      </c>
      <c r="AZ43" s="6">
        <f t="shared" ref="AZ43:AZ76" ca="1" si="290">IF(KH4=1,KF4,KD4)</f>
        <v>0</v>
      </c>
      <c r="BA43">
        <f t="shared" ref="BA43:BA76" ca="1" si="291">IF(LA4=1,KW4,KY4)</f>
        <v>0</v>
      </c>
      <c r="BB43" s="6">
        <f t="shared" ref="BB43:BB76" ca="1" si="292">IF(LA4=1,KY4,KW4)</f>
        <v>0</v>
      </c>
      <c r="BC43">
        <f t="shared" ref="BC43:BC76" ca="1" si="293">IF(LT4=1,LP4,LR4)</f>
        <v>0</v>
      </c>
      <c r="BD43" s="6">
        <f t="shared" ref="BD43:BD76" ca="1" si="294">IF(LT4=1,LR4,LP4)</f>
        <v>0</v>
      </c>
    </row>
    <row r="44" spans="1:343" x14ac:dyDescent="0.2">
      <c r="A44" t="str">
        <f>U2</f>
        <v>Leipzig</v>
      </c>
      <c r="D44" t="e">
        <f ca="1">SUM(AJ38:AM38)-(34-#REF!)</f>
        <v>#REF!</v>
      </c>
      <c r="E44">
        <f ca="1">SUM(AC39:AG39)-(34-'i1'!C41)</f>
        <v>0</v>
      </c>
      <c r="F44" s="104" t="e">
        <f t="shared" ca="1" si="252"/>
        <v>#REF!</v>
      </c>
      <c r="G44" s="97" t="e">
        <f t="shared" ca="1" si="253"/>
        <v>#REF!</v>
      </c>
      <c r="H44" t="e">
        <f t="shared" ca="1" si="254"/>
        <v>#REF!</v>
      </c>
      <c r="I44" t="e">
        <f t="shared" ca="1" si="255"/>
        <v>#REF!</v>
      </c>
      <c r="J44">
        <f>(Spieltage!DS2)+1</f>
        <v>17</v>
      </c>
      <c r="K44" t="e">
        <f t="shared" ca="1" si="256"/>
        <v>#REF!</v>
      </c>
      <c r="L44" t="e">
        <f t="shared" ca="1" si="257"/>
        <v>#REF!</v>
      </c>
      <c r="M44" t="e">
        <f t="shared" ca="1" si="258"/>
        <v>#REF!</v>
      </c>
      <c r="T44" s="100">
        <v>2</v>
      </c>
      <c r="U44">
        <f t="shared" ca="1" si="259"/>
        <v>0</v>
      </c>
      <c r="V44" s="6">
        <f t="shared" ca="1" si="260"/>
        <v>0</v>
      </c>
      <c r="W44">
        <f t="shared" ca="1" si="261"/>
        <v>0</v>
      </c>
      <c r="X44" s="6">
        <f t="shared" ca="1" si="262"/>
        <v>0</v>
      </c>
      <c r="Y44">
        <f t="shared" ca="1" si="263"/>
        <v>0</v>
      </c>
      <c r="Z44" s="6">
        <f t="shared" ca="1" si="264"/>
        <v>0</v>
      </c>
      <c r="AA44">
        <f t="shared" ca="1" si="265"/>
        <v>0</v>
      </c>
      <c r="AB44" s="6">
        <f t="shared" ca="1" si="266"/>
        <v>0</v>
      </c>
      <c r="AC44">
        <f t="shared" ca="1" si="267"/>
        <v>0</v>
      </c>
      <c r="AD44" s="6">
        <f t="shared" ca="1" si="268"/>
        <v>0</v>
      </c>
      <c r="AE44">
        <f t="shared" ca="1" si="269"/>
        <v>0</v>
      </c>
      <c r="AF44" s="6">
        <f t="shared" ca="1" si="270"/>
        <v>0</v>
      </c>
      <c r="AG44">
        <f t="shared" ca="1" si="271"/>
        <v>0</v>
      </c>
      <c r="AH44" s="6">
        <f t="shared" ca="1" si="272"/>
        <v>0</v>
      </c>
      <c r="AI44">
        <f t="shared" ca="1" si="273"/>
        <v>0</v>
      </c>
      <c r="AJ44" s="6">
        <f t="shared" ca="1" si="274"/>
        <v>0</v>
      </c>
      <c r="AK44">
        <f t="shared" ca="1" si="275"/>
        <v>0</v>
      </c>
      <c r="AL44" s="6">
        <f t="shared" ca="1" si="276"/>
        <v>0</v>
      </c>
      <c r="AM44">
        <f t="shared" ca="1" si="277"/>
        <v>0</v>
      </c>
      <c r="AN44" s="6">
        <f t="shared" ca="1" si="278"/>
        <v>0</v>
      </c>
      <c r="AO44">
        <f t="shared" ca="1" si="279"/>
        <v>0</v>
      </c>
      <c r="AP44" s="6">
        <f t="shared" ca="1" si="280"/>
        <v>0</v>
      </c>
      <c r="AQ44">
        <f t="shared" ca="1" si="281"/>
        <v>0</v>
      </c>
      <c r="AR44" s="6">
        <f t="shared" ca="1" si="282"/>
        <v>0</v>
      </c>
      <c r="AS44" s="97">
        <f t="shared" ca="1" si="283"/>
        <v>0</v>
      </c>
      <c r="AT44" s="6">
        <f t="shared" ca="1" si="284"/>
        <v>0</v>
      </c>
      <c r="AU44">
        <f t="shared" ca="1" si="285"/>
        <v>0</v>
      </c>
      <c r="AV44" s="6">
        <f t="shared" ca="1" si="286"/>
        <v>0</v>
      </c>
      <c r="AW44">
        <f t="shared" ca="1" si="287"/>
        <v>0</v>
      </c>
      <c r="AX44" s="6">
        <f t="shared" ca="1" si="288"/>
        <v>0</v>
      </c>
      <c r="AY44">
        <f t="shared" ca="1" si="289"/>
        <v>0</v>
      </c>
      <c r="AZ44" s="6">
        <f t="shared" ca="1" si="290"/>
        <v>0</v>
      </c>
      <c r="BA44">
        <f t="shared" ca="1" si="291"/>
        <v>0</v>
      </c>
      <c r="BB44" s="6">
        <f t="shared" ca="1" si="292"/>
        <v>0</v>
      </c>
      <c r="BC44">
        <f t="shared" ca="1" si="293"/>
        <v>0</v>
      </c>
      <c r="BD44" s="6">
        <f t="shared" ca="1" si="294"/>
        <v>0</v>
      </c>
    </row>
    <row r="45" spans="1:343" x14ac:dyDescent="0.2">
      <c r="A45" t="str">
        <f>AN2</f>
        <v>Leverk.</v>
      </c>
      <c r="D45" t="e">
        <f ca="1">SUM(BC38:BF38)-(34-#REF!)</f>
        <v>#REF!</v>
      </c>
      <c r="E45">
        <f ca="1">SUM(AV39:AZ39)-(34-'i1'!D41)</f>
        <v>0</v>
      </c>
      <c r="F45" s="104" t="e">
        <f t="shared" ca="1" si="252"/>
        <v>#REF!</v>
      </c>
      <c r="G45" s="97" t="e">
        <f t="shared" ca="1" si="253"/>
        <v>#REF!</v>
      </c>
      <c r="H45" t="e">
        <f t="shared" ca="1" si="254"/>
        <v>#REF!</v>
      </c>
      <c r="I45" t="e">
        <f t="shared" ca="1" si="255"/>
        <v>#REF!</v>
      </c>
      <c r="J45">
        <f>(Spieltage!DS3)+1</f>
        <v>16</v>
      </c>
      <c r="K45" t="e">
        <f t="shared" ca="1" si="256"/>
        <v>#REF!</v>
      </c>
      <c r="L45" t="e">
        <f t="shared" ca="1" si="257"/>
        <v>#REF!</v>
      </c>
      <c r="M45" t="e">
        <f t="shared" ca="1" si="258"/>
        <v>#REF!</v>
      </c>
      <c r="T45" s="100">
        <v>3</v>
      </c>
      <c r="U45">
        <f t="shared" ca="1" si="259"/>
        <v>0</v>
      </c>
      <c r="V45" s="6">
        <f t="shared" ca="1" si="260"/>
        <v>0</v>
      </c>
      <c r="W45">
        <f t="shared" ca="1" si="261"/>
        <v>0</v>
      </c>
      <c r="X45" s="6">
        <f t="shared" ca="1" si="262"/>
        <v>0</v>
      </c>
      <c r="Y45">
        <f t="shared" ca="1" si="263"/>
        <v>0</v>
      </c>
      <c r="Z45" s="6">
        <f t="shared" ca="1" si="264"/>
        <v>0</v>
      </c>
      <c r="AA45">
        <f t="shared" ca="1" si="265"/>
        <v>0</v>
      </c>
      <c r="AB45" s="6">
        <f t="shared" ca="1" si="266"/>
        <v>0</v>
      </c>
      <c r="AC45">
        <f t="shared" ca="1" si="267"/>
        <v>0</v>
      </c>
      <c r="AD45" s="6">
        <f t="shared" ca="1" si="268"/>
        <v>0</v>
      </c>
      <c r="AE45">
        <f t="shared" ca="1" si="269"/>
        <v>0</v>
      </c>
      <c r="AF45" s="6">
        <f t="shared" ca="1" si="270"/>
        <v>0</v>
      </c>
      <c r="AG45">
        <f t="shared" ca="1" si="271"/>
        <v>0</v>
      </c>
      <c r="AH45" s="6">
        <f t="shared" ca="1" si="272"/>
        <v>0</v>
      </c>
      <c r="AI45">
        <f t="shared" ca="1" si="273"/>
        <v>0</v>
      </c>
      <c r="AJ45" s="6">
        <f t="shared" ca="1" si="274"/>
        <v>0</v>
      </c>
      <c r="AK45">
        <f t="shared" ca="1" si="275"/>
        <v>0</v>
      </c>
      <c r="AL45" s="6">
        <f t="shared" ca="1" si="276"/>
        <v>0</v>
      </c>
      <c r="AM45">
        <f t="shared" ca="1" si="277"/>
        <v>0</v>
      </c>
      <c r="AN45" s="6">
        <f t="shared" ca="1" si="278"/>
        <v>0</v>
      </c>
      <c r="AO45">
        <f t="shared" ca="1" si="279"/>
        <v>0</v>
      </c>
      <c r="AP45" s="6">
        <f t="shared" ca="1" si="280"/>
        <v>0</v>
      </c>
      <c r="AQ45">
        <f t="shared" ca="1" si="281"/>
        <v>0</v>
      </c>
      <c r="AR45" s="6">
        <f t="shared" ca="1" si="282"/>
        <v>0</v>
      </c>
      <c r="AS45" s="97">
        <f t="shared" ca="1" si="283"/>
        <v>0</v>
      </c>
      <c r="AT45" s="6">
        <f t="shared" ca="1" si="284"/>
        <v>0</v>
      </c>
      <c r="AU45">
        <f t="shared" ca="1" si="285"/>
        <v>0</v>
      </c>
      <c r="AV45" s="6">
        <f t="shared" ca="1" si="286"/>
        <v>0</v>
      </c>
      <c r="AW45">
        <f t="shared" ca="1" si="287"/>
        <v>0</v>
      </c>
      <c r="AX45" s="6">
        <f t="shared" ca="1" si="288"/>
        <v>0</v>
      </c>
      <c r="AY45">
        <f t="shared" ca="1" si="289"/>
        <v>0</v>
      </c>
      <c r="AZ45" s="6">
        <f t="shared" ca="1" si="290"/>
        <v>0</v>
      </c>
      <c r="BA45">
        <f t="shared" ca="1" si="291"/>
        <v>0</v>
      </c>
      <c r="BB45" s="6">
        <f t="shared" ca="1" si="292"/>
        <v>0</v>
      </c>
      <c r="BC45">
        <f t="shared" ca="1" si="293"/>
        <v>0</v>
      </c>
      <c r="BD45" s="6">
        <f t="shared" ca="1" si="294"/>
        <v>0</v>
      </c>
    </row>
    <row r="46" spans="1:343" x14ac:dyDescent="0.2">
      <c r="A46" t="str">
        <f>BG2</f>
        <v>Hoffenheim</v>
      </c>
      <c r="D46" t="e">
        <f ca="1">SUM(BV38:BY38)-(34-#REF!)</f>
        <v>#REF!</v>
      </c>
      <c r="E46">
        <f ca="1">SUM(BO39:BS39)-(34-'i1'!E41)</f>
        <v>0</v>
      </c>
      <c r="F46" s="104" t="e">
        <f t="shared" ca="1" si="252"/>
        <v>#REF!</v>
      </c>
      <c r="G46" s="97" t="e">
        <f t="shared" ca="1" si="253"/>
        <v>#REF!</v>
      </c>
      <c r="H46" t="e">
        <f t="shared" ca="1" si="254"/>
        <v>#REF!</v>
      </c>
      <c r="I46" t="e">
        <f t="shared" ca="1" si="255"/>
        <v>#REF!</v>
      </c>
      <c r="J46">
        <f>(Spieltage!DS4)+1</f>
        <v>15</v>
      </c>
      <c r="K46" t="e">
        <f t="shared" ca="1" si="256"/>
        <v>#REF!</v>
      </c>
      <c r="L46" t="e">
        <f t="shared" ca="1" si="257"/>
        <v>#REF!</v>
      </c>
      <c r="M46" t="e">
        <f t="shared" ca="1" si="258"/>
        <v>#REF!</v>
      </c>
      <c r="T46" s="100">
        <v>4</v>
      </c>
      <c r="U46">
        <f t="shared" ca="1" si="259"/>
        <v>0</v>
      </c>
      <c r="V46" s="6">
        <f t="shared" ca="1" si="260"/>
        <v>0</v>
      </c>
      <c r="W46">
        <f t="shared" ca="1" si="261"/>
        <v>0</v>
      </c>
      <c r="X46" s="6">
        <f t="shared" ca="1" si="262"/>
        <v>0</v>
      </c>
      <c r="Y46">
        <f t="shared" ca="1" si="263"/>
        <v>0</v>
      </c>
      <c r="Z46" s="6">
        <f t="shared" ca="1" si="264"/>
        <v>0</v>
      </c>
      <c r="AA46">
        <f t="shared" ca="1" si="265"/>
        <v>0</v>
      </c>
      <c r="AB46" s="6">
        <f t="shared" ca="1" si="266"/>
        <v>0</v>
      </c>
      <c r="AC46">
        <f t="shared" ca="1" si="267"/>
        <v>0</v>
      </c>
      <c r="AD46" s="6">
        <f t="shared" ca="1" si="268"/>
        <v>0</v>
      </c>
      <c r="AE46">
        <f t="shared" ca="1" si="269"/>
        <v>0</v>
      </c>
      <c r="AF46" s="6">
        <f t="shared" ca="1" si="270"/>
        <v>0</v>
      </c>
      <c r="AG46">
        <f t="shared" ca="1" si="271"/>
        <v>0</v>
      </c>
      <c r="AH46" s="6">
        <f t="shared" ca="1" si="272"/>
        <v>0</v>
      </c>
      <c r="AI46">
        <f t="shared" ca="1" si="273"/>
        <v>0</v>
      </c>
      <c r="AJ46" s="6">
        <f t="shared" ca="1" si="274"/>
        <v>0</v>
      </c>
      <c r="AK46">
        <f t="shared" ca="1" si="275"/>
        <v>0</v>
      </c>
      <c r="AL46" s="6">
        <f t="shared" ca="1" si="276"/>
        <v>0</v>
      </c>
      <c r="AM46">
        <f t="shared" ca="1" si="277"/>
        <v>0</v>
      </c>
      <c r="AN46" s="6">
        <f t="shared" ca="1" si="278"/>
        <v>0</v>
      </c>
      <c r="AO46">
        <f t="shared" ca="1" si="279"/>
        <v>0</v>
      </c>
      <c r="AP46" s="6">
        <f t="shared" ca="1" si="280"/>
        <v>0</v>
      </c>
      <c r="AQ46">
        <f t="shared" ca="1" si="281"/>
        <v>0</v>
      </c>
      <c r="AR46" s="6">
        <f t="shared" ca="1" si="282"/>
        <v>0</v>
      </c>
      <c r="AS46" s="97">
        <f t="shared" ca="1" si="283"/>
        <v>0</v>
      </c>
      <c r="AT46" s="6">
        <f t="shared" ca="1" si="284"/>
        <v>0</v>
      </c>
      <c r="AU46">
        <f t="shared" ca="1" si="285"/>
        <v>0</v>
      </c>
      <c r="AV46" s="6">
        <f t="shared" ca="1" si="286"/>
        <v>0</v>
      </c>
      <c r="AW46">
        <f t="shared" ca="1" si="287"/>
        <v>0</v>
      </c>
      <c r="AX46" s="6">
        <f t="shared" ca="1" si="288"/>
        <v>0</v>
      </c>
      <c r="AY46">
        <f t="shared" ca="1" si="289"/>
        <v>0</v>
      </c>
      <c r="AZ46" s="6">
        <f t="shared" ca="1" si="290"/>
        <v>0</v>
      </c>
      <c r="BA46">
        <f t="shared" ca="1" si="291"/>
        <v>0</v>
      </c>
      <c r="BB46" s="6">
        <f t="shared" ca="1" si="292"/>
        <v>0</v>
      </c>
      <c r="BC46">
        <f t="shared" ca="1" si="293"/>
        <v>0</v>
      </c>
      <c r="BD46" s="6">
        <f t="shared" ca="1" si="294"/>
        <v>0</v>
      </c>
    </row>
    <row r="47" spans="1:343" x14ac:dyDescent="0.2">
      <c r="A47" t="str">
        <f>BZ2</f>
        <v>Frankfurt</v>
      </c>
      <c r="D47" t="e">
        <f ca="1">SUM(CO38:CR38)-(34-#REF!)</f>
        <v>#REF!</v>
      </c>
      <c r="E47">
        <f ca="1">SUM(CH39:CL39)-(34-'i1'!F41)</f>
        <v>0</v>
      </c>
      <c r="F47" s="104" t="e">
        <f t="shared" ca="1" si="252"/>
        <v>#REF!</v>
      </c>
      <c r="G47" s="97" t="e">
        <f t="shared" ca="1" si="253"/>
        <v>#REF!</v>
      </c>
      <c r="H47" t="e">
        <f t="shared" ca="1" si="254"/>
        <v>#REF!</v>
      </c>
      <c r="I47" t="e">
        <f t="shared" ca="1" si="255"/>
        <v>#REF!</v>
      </c>
      <c r="J47">
        <f>(Spieltage!DS5)+1</f>
        <v>14</v>
      </c>
      <c r="K47" t="e">
        <f t="shared" ca="1" si="256"/>
        <v>#REF!</v>
      </c>
      <c r="L47" t="e">
        <f t="shared" ca="1" si="257"/>
        <v>#REF!</v>
      </c>
      <c r="M47" t="e">
        <f t="shared" ca="1" si="258"/>
        <v>#REF!</v>
      </c>
      <c r="T47" s="100">
        <v>5</v>
      </c>
      <c r="U47">
        <f t="shared" ca="1" si="259"/>
        <v>0</v>
      </c>
      <c r="V47" s="6">
        <f t="shared" ca="1" si="260"/>
        <v>0</v>
      </c>
      <c r="W47">
        <f t="shared" ca="1" si="261"/>
        <v>0</v>
      </c>
      <c r="X47" s="6">
        <f t="shared" ca="1" si="262"/>
        <v>0</v>
      </c>
      <c r="Y47">
        <f t="shared" ca="1" si="263"/>
        <v>0</v>
      </c>
      <c r="Z47" s="6">
        <f t="shared" ca="1" si="264"/>
        <v>0</v>
      </c>
      <c r="AA47">
        <f t="shared" ca="1" si="265"/>
        <v>0</v>
      </c>
      <c r="AB47" s="6">
        <f t="shared" ca="1" si="266"/>
        <v>0</v>
      </c>
      <c r="AC47">
        <f t="shared" ca="1" si="267"/>
        <v>0</v>
      </c>
      <c r="AD47" s="6">
        <f t="shared" ca="1" si="268"/>
        <v>0</v>
      </c>
      <c r="AE47">
        <f t="shared" ca="1" si="269"/>
        <v>0</v>
      </c>
      <c r="AF47" s="6">
        <f t="shared" ca="1" si="270"/>
        <v>0</v>
      </c>
      <c r="AG47">
        <f t="shared" ca="1" si="271"/>
        <v>0</v>
      </c>
      <c r="AH47" s="6">
        <f t="shared" ca="1" si="272"/>
        <v>0</v>
      </c>
      <c r="AI47">
        <f t="shared" ca="1" si="273"/>
        <v>0</v>
      </c>
      <c r="AJ47" s="6">
        <f t="shared" ca="1" si="274"/>
        <v>0</v>
      </c>
      <c r="AK47">
        <f t="shared" ca="1" si="275"/>
        <v>0</v>
      </c>
      <c r="AL47" s="6">
        <f t="shared" ca="1" si="276"/>
        <v>0</v>
      </c>
      <c r="AM47">
        <f t="shared" ca="1" si="277"/>
        <v>0</v>
      </c>
      <c r="AN47" s="6">
        <f t="shared" ca="1" si="278"/>
        <v>0</v>
      </c>
      <c r="AO47">
        <f t="shared" ca="1" si="279"/>
        <v>0</v>
      </c>
      <c r="AP47" s="6">
        <f t="shared" ca="1" si="280"/>
        <v>0</v>
      </c>
      <c r="AQ47">
        <f t="shared" ca="1" si="281"/>
        <v>0</v>
      </c>
      <c r="AR47" s="6">
        <f t="shared" ca="1" si="282"/>
        <v>0</v>
      </c>
      <c r="AS47" s="97">
        <f t="shared" ca="1" si="283"/>
        <v>0</v>
      </c>
      <c r="AT47" s="6">
        <f t="shared" ca="1" si="284"/>
        <v>0</v>
      </c>
      <c r="AU47">
        <f t="shared" ca="1" si="285"/>
        <v>0</v>
      </c>
      <c r="AV47" s="6">
        <f t="shared" ca="1" si="286"/>
        <v>0</v>
      </c>
      <c r="AW47">
        <f t="shared" ca="1" si="287"/>
        <v>0</v>
      </c>
      <c r="AX47" s="6">
        <f t="shared" ca="1" si="288"/>
        <v>0</v>
      </c>
      <c r="AY47">
        <f t="shared" ca="1" si="289"/>
        <v>0</v>
      </c>
      <c r="AZ47" s="6">
        <f t="shared" ca="1" si="290"/>
        <v>0</v>
      </c>
      <c r="BA47">
        <f t="shared" ca="1" si="291"/>
        <v>0</v>
      </c>
      <c r="BB47" s="6">
        <f t="shared" ca="1" si="292"/>
        <v>0</v>
      </c>
      <c r="BC47">
        <f t="shared" ca="1" si="293"/>
        <v>0</v>
      </c>
      <c r="BD47" s="6">
        <f t="shared" ca="1" si="294"/>
        <v>0</v>
      </c>
    </row>
    <row r="48" spans="1:343" x14ac:dyDescent="0.2">
      <c r="A48" t="str">
        <f>CS2</f>
        <v>Werder</v>
      </c>
      <c r="D48" t="e">
        <f ca="1">SUM(DH38:DK38)-(34-#REF!)</f>
        <v>#REF!</v>
      </c>
      <c r="E48">
        <f ca="1">SUM(DA39:DE39)-(34-'i1'!G41)</f>
        <v>0</v>
      </c>
      <c r="F48" s="104" t="e">
        <f t="shared" ca="1" si="252"/>
        <v>#REF!</v>
      </c>
      <c r="G48" s="97" t="e">
        <f t="shared" ca="1" si="253"/>
        <v>#REF!</v>
      </c>
      <c r="H48" t="e">
        <f t="shared" ca="1" si="254"/>
        <v>#REF!</v>
      </c>
      <c r="I48" t="e">
        <f t="shared" ca="1" si="255"/>
        <v>#REF!</v>
      </c>
      <c r="J48">
        <f>(Spieltage!DS6)+1</f>
        <v>13</v>
      </c>
      <c r="K48" t="e">
        <f t="shared" ca="1" si="256"/>
        <v>#REF!</v>
      </c>
      <c r="L48" t="e">
        <f t="shared" ca="1" si="257"/>
        <v>#REF!</v>
      </c>
      <c r="M48" t="e">
        <f t="shared" ca="1" si="258"/>
        <v>#REF!</v>
      </c>
      <c r="T48" s="100">
        <v>6</v>
      </c>
      <c r="U48">
        <f t="shared" ca="1" si="259"/>
        <v>0</v>
      </c>
      <c r="V48" s="6">
        <f t="shared" ca="1" si="260"/>
        <v>0</v>
      </c>
      <c r="W48">
        <f t="shared" ca="1" si="261"/>
        <v>0</v>
      </c>
      <c r="X48" s="6">
        <f t="shared" ca="1" si="262"/>
        <v>0</v>
      </c>
      <c r="Y48">
        <f t="shared" ca="1" si="263"/>
        <v>0</v>
      </c>
      <c r="Z48" s="6">
        <f t="shared" ca="1" si="264"/>
        <v>0</v>
      </c>
      <c r="AA48">
        <f t="shared" ca="1" si="265"/>
        <v>0</v>
      </c>
      <c r="AB48" s="6">
        <f t="shared" ca="1" si="266"/>
        <v>0</v>
      </c>
      <c r="AC48">
        <f t="shared" ca="1" si="267"/>
        <v>0</v>
      </c>
      <c r="AD48" s="6">
        <f t="shared" ca="1" si="268"/>
        <v>0</v>
      </c>
      <c r="AE48">
        <f t="shared" ca="1" si="269"/>
        <v>0</v>
      </c>
      <c r="AF48" s="6">
        <f t="shared" ca="1" si="270"/>
        <v>0</v>
      </c>
      <c r="AG48">
        <f t="shared" ca="1" si="271"/>
        <v>0</v>
      </c>
      <c r="AH48" s="6">
        <f t="shared" ca="1" si="272"/>
        <v>0</v>
      </c>
      <c r="AI48">
        <f t="shared" ca="1" si="273"/>
        <v>0</v>
      </c>
      <c r="AJ48" s="6">
        <f t="shared" ca="1" si="274"/>
        <v>0</v>
      </c>
      <c r="AK48">
        <f t="shared" ca="1" si="275"/>
        <v>0</v>
      </c>
      <c r="AL48" s="6">
        <f t="shared" ca="1" si="276"/>
        <v>0</v>
      </c>
      <c r="AM48">
        <f t="shared" ca="1" si="277"/>
        <v>0</v>
      </c>
      <c r="AN48" s="6">
        <f t="shared" ca="1" si="278"/>
        <v>0</v>
      </c>
      <c r="AO48">
        <f t="shared" ca="1" si="279"/>
        <v>0</v>
      </c>
      <c r="AP48" s="6">
        <f t="shared" ca="1" si="280"/>
        <v>0</v>
      </c>
      <c r="AQ48">
        <f t="shared" ca="1" si="281"/>
        <v>0</v>
      </c>
      <c r="AR48" s="6">
        <f t="shared" ca="1" si="282"/>
        <v>0</v>
      </c>
      <c r="AS48" s="97">
        <f t="shared" ca="1" si="283"/>
        <v>0</v>
      </c>
      <c r="AT48" s="6">
        <f t="shared" ca="1" si="284"/>
        <v>0</v>
      </c>
      <c r="AU48">
        <f t="shared" ca="1" si="285"/>
        <v>0</v>
      </c>
      <c r="AV48" s="6">
        <f t="shared" ca="1" si="286"/>
        <v>0</v>
      </c>
      <c r="AW48">
        <f t="shared" ca="1" si="287"/>
        <v>0</v>
      </c>
      <c r="AX48" s="6">
        <f t="shared" ca="1" si="288"/>
        <v>0</v>
      </c>
      <c r="AY48">
        <f t="shared" ca="1" si="289"/>
        <v>0</v>
      </c>
      <c r="AZ48" s="6">
        <f t="shared" ca="1" si="290"/>
        <v>0</v>
      </c>
      <c r="BA48">
        <f t="shared" ca="1" si="291"/>
        <v>0</v>
      </c>
      <c r="BB48" s="6">
        <f t="shared" ca="1" si="292"/>
        <v>0</v>
      </c>
      <c r="BC48">
        <f t="shared" ca="1" si="293"/>
        <v>0</v>
      </c>
      <c r="BD48" s="6">
        <f t="shared" ca="1" si="294"/>
        <v>0</v>
      </c>
    </row>
    <row r="49" spans="1:56" x14ac:dyDescent="0.2">
      <c r="A49" t="str">
        <f>DL2</f>
        <v>Freiburg</v>
      </c>
      <c r="D49" t="e">
        <f ca="1">SUM(EA38:ED38)-(34-#REF!)</f>
        <v>#REF!</v>
      </c>
      <c r="E49">
        <f ca="1">SUM(DT39:DX39)-(34-'i1'!H41)</f>
        <v>0</v>
      </c>
      <c r="F49" s="104" t="e">
        <f t="shared" ca="1" si="252"/>
        <v>#REF!</v>
      </c>
      <c r="G49" s="97" t="e">
        <f t="shared" ca="1" si="253"/>
        <v>#REF!</v>
      </c>
      <c r="H49" t="e">
        <f t="shared" ca="1" si="254"/>
        <v>#REF!</v>
      </c>
      <c r="I49" t="e">
        <f t="shared" ca="1" si="255"/>
        <v>#REF!</v>
      </c>
      <c r="J49">
        <f>(Spieltage!DS7)+1</f>
        <v>12</v>
      </c>
      <c r="K49" t="e">
        <f t="shared" ca="1" si="256"/>
        <v>#REF!</v>
      </c>
      <c r="L49" t="e">
        <f t="shared" ca="1" si="257"/>
        <v>#REF!</v>
      </c>
      <c r="M49" t="e">
        <f t="shared" ca="1" si="258"/>
        <v>#REF!</v>
      </c>
      <c r="T49" s="100">
        <v>7</v>
      </c>
      <c r="U49">
        <f t="shared" ca="1" si="259"/>
        <v>0</v>
      </c>
      <c r="V49" s="6">
        <f t="shared" ca="1" si="260"/>
        <v>0</v>
      </c>
      <c r="W49">
        <f t="shared" ca="1" si="261"/>
        <v>0</v>
      </c>
      <c r="X49" s="6">
        <f t="shared" ca="1" si="262"/>
        <v>0</v>
      </c>
      <c r="Y49">
        <f t="shared" ca="1" si="263"/>
        <v>0</v>
      </c>
      <c r="Z49" s="6">
        <f t="shared" ca="1" si="264"/>
        <v>0</v>
      </c>
      <c r="AA49">
        <f t="shared" ca="1" si="265"/>
        <v>0</v>
      </c>
      <c r="AB49" s="6">
        <f t="shared" ca="1" si="266"/>
        <v>0</v>
      </c>
      <c r="AC49">
        <f t="shared" ca="1" si="267"/>
        <v>0</v>
      </c>
      <c r="AD49" s="6">
        <f t="shared" ca="1" si="268"/>
        <v>0</v>
      </c>
      <c r="AE49">
        <f t="shared" ca="1" si="269"/>
        <v>0</v>
      </c>
      <c r="AF49" s="6">
        <f t="shared" ca="1" si="270"/>
        <v>0</v>
      </c>
      <c r="AG49">
        <f t="shared" ca="1" si="271"/>
        <v>0</v>
      </c>
      <c r="AH49" s="6">
        <f t="shared" ca="1" si="272"/>
        <v>0</v>
      </c>
      <c r="AI49">
        <f t="shared" ca="1" si="273"/>
        <v>0</v>
      </c>
      <c r="AJ49" s="6">
        <f t="shared" ca="1" si="274"/>
        <v>0</v>
      </c>
      <c r="AK49">
        <f t="shared" ca="1" si="275"/>
        <v>0</v>
      </c>
      <c r="AL49" s="6">
        <f t="shared" ca="1" si="276"/>
        <v>0</v>
      </c>
      <c r="AM49">
        <f t="shared" ca="1" si="277"/>
        <v>0</v>
      </c>
      <c r="AN49" s="6">
        <f t="shared" ca="1" si="278"/>
        <v>0</v>
      </c>
      <c r="AO49">
        <f t="shared" ca="1" si="279"/>
        <v>0</v>
      </c>
      <c r="AP49" s="6">
        <f t="shared" ca="1" si="280"/>
        <v>0</v>
      </c>
      <c r="AQ49">
        <f t="shared" ca="1" si="281"/>
        <v>0</v>
      </c>
      <c r="AR49" s="6">
        <f t="shared" ca="1" si="282"/>
        <v>0</v>
      </c>
      <c r="AS49" s="97">
        <f t="shared" ca="1" si="283"/>
        <v>0</v>
      </c>
      <c r="AT49" s="6">
        <f t="shared" ca="1" si="284"/>
        <v>0</v>
      </c>
      <c r="AU49">
        <f t="shared" ca="1" si="285"/>
        <v>0</v>
      </c>
      <c r="AV49" s="6">
        <f t="shared" ca="1" si="286"/>
        <v>0</v>
      </c>
      <c r="AW49">
        <f t="shared" ca="1" si="287"/>
        <v>0</v>
      </c>
      <c r="AX49" s="6">
        <f t="shared" ca="1" si="288"/>
        <v>0</v>
      </c>
      <c r="AY49">
        <f t="shared" ca="1" si="289"/>
        <v>0</v>
      </c>
      <c r="AZ49" s="6">
        <f t="shared" ca="1" si="290"/>
        <v>0</v>
      </c>
      <c r="BA49">
        <f t="shared" ca="1" si="291"/>
        <v>0</v>
      </c>
      <c r="BB49" s="6">
        <f t="shared" ca="1" si="292"/>
        <v>0</v>
      </c>
      <c r="BC49">
        <f t="shared" ca="1" si="293"/>
        <v>0</v>
      </c>
      <c r="BD49" s="6">
        <f t="shared" ca="1" si="294"/>
        <v>0</v>
      </c>
    </row>
    <row r="50" spans="1:56" x14ac:dyDescent="0.2">
      <c r="A50" t="str">
        <f>EE2</f>
        <v>Augsburg</v>
      </c>
      <c r="D50" t="e">
        <f ca="1">SUM(ET38:EW38)-(34-#REF!)</f>
        <v>#REF!</v>
      </c>
      <c r="E50">
        <f ca="1">SUM(EM39:EQ39)-(34-'i1'!I41)</f>
        <v>0</v>
      </c>
      <c r="F50" s="104" t="e">
        <f t="shared" ca="1" si="252"/>
        <v>#REF!</v>
      </c>
      <c r="G50" s="97" t="e">
        <f t="shared" ca="1" si="253"/>
        <v>#REF!</v>
      </c>
      <c r="H50" t="e">
        <f t="shared" ca="1" si="254"/>
        <v>#REF!</v>
      </c>
      <c r="I50" t="e">
        <f t="shared" ca="1" si="255"/>
        <v>#REF!</v>
      </c>
      <c r="J50">
        <f>(Spieltage!DS8)+1</f>
        <v>11</v>
      </c>
      <c r="K50" t="e">
        <f t="shared" ca="1" si="256"/>
        <v>#REF!</v>
      </c>
      <c r="L50" t="e">
        <f t="shared" ca="1" si="257"/>
        <v>#REF!</v>
      </c>
      <c r="M50" t="e">
        <f t="shared" ca="1" si="258"/>
        <v>#REF!</v>
      </c>
      <c r="T50" s="100">
        <v>8</v>
      </c>
      <c r="U50">
        <f t="shared" ca="1" si="259"/>
        <v>0</v>
      </c>
      <c r="V50" s="6">
        <f t="shared" ca="1" si="260"/>
        <v>0</v>
      </c>
      <c r="W50">
        <f t="shared" ca="1" si="261"/>
        <v>0</v>
      </c>
      <c r="X50" s="6">
        <f t="shared" ca="1" si="262"/>
        <v>0</v>
      </c>
      <c r="Y50">
        <f t="shared" ca="1" si="263"/>
        <v>0</v>
      </c>
      <c r="Z50" s="6">
        <f t="shared" ca="1" si="264"/>
        <v>0</v>
      </c>
      <c r="AA50">
        <f t="shared" ca="1" si="265"/>
        <v>0</v>
      </c>
      <c r="AB50" s="6">
        <f t="shared" ca="1" si="266"/>
        <v>0</v>
      </c>
      <c r="AC50">
        <f t="shared" ca="1" si="267"/>
        <v>0</v>
      </c>
      <c r="AD50" s="6">
        <f t="shared" ca="1" si="268"/>
        <v>0</v>
      </c>
      <c r="AE50">
        <f t="shared" ca="1" si="269"/>
        <v>0</v>
      </c>
      <c r="AF50" s="6">
        <f t="shared" ca="1" si="270"/>
        <v>0</v>
      </c>
      <c r="AG50">
        <f t="shared" ca="1" si="271"/>
        <v>0</v>
      </c>
      <c r="AH50" s="6">
        <f t="shared" ca="1" si="272"/>
        <v>0</v>
      </c>
      <c r="AI50">
        <f t="shared" ca="1" si="273"/>
        <v>0</v>
      </c>
      <c r="AJ50" s="6">
        <f t="shared" ca="1" si="274"/>
        <v>0</v>
      </c>
      <c r="AK50">
        <f t="shared" ca="1" si="275"/>
        <v>0</v>
      </c>
      <c r="AL50" s="6">
        <f t="shared" ca="1" si="276"/>
        <v>0</v>
      </c>
      <c r="AM50">
        <f t="shared" ca="1" si="277"/>
        <v>0</v>
      </c>
      <c r="AN50" s="6">
        <f t="shared" ca="1" si="278"/>
        <v>0</v>
      </c>
      <c r="AO50">
        <f t="shared" ca="1" si="279"/>
        <v>0</v>
      </c>
      <c r="AP50" s="6">
        <f t="shared" ca="1" si="280"/>
        <v>0</v>
      </c>
      <c r="AQ50">
        <f t="shared" ca="1" si="281"/>
        <v>0</v>
      </c>
      <c r="AR50" s="6">
        <f t="shared" ca="1" si="282"/>
        <v>0</v>
      </c>
      <c r="AS50" s="97">
        <f t="shared" ca="1" si="283"/>
        <v>0</v>
      </c>
      <c r="AT50" s="6">
        <f t="shared" ca="1" si="284"/>
        <v>0</v>
      </c>
      <c r="AU50">
        <f t="shared" ca="1" si="285"/>
        <v>0</v>
      </c>
      <c r="AV50" s="6">
        <f t="shared" ca="1" si="286"/>
        <v>0</v>
      </c>
      <c r="AW50">
        <f t="shared" ca="1" si="287"/>
        <v>0</v>
      </c>
      <c r="AX50" s="6">
        <f t="shared" ca="1" si="288"/>
        <v>0</v>
      </c>
      <c r="AY50">
        <f t="shared" ca="1" si="289"/>
        <v>0</v>
      </c>
      <c r="AZ50" s="6">
        <f t="shared" ca="1" si="290"/>
        <v>0</v>
      </c>
      <c r="BA50">
        <f t="shared" ca="1" si="291"/>
        <v>0</v>
      </c>
      <c r="BB50" s="6">
        <f t="shared" ca="1" si="292"/>
        <v>0</v>
      </c>
      <c r="BC50">
        <f t="shared" ca="1" si="293"/>
        <v>0</v>
      </c>
      <c r="BD50" s="6">
        <f t="shared" ca="1" si="294"/>
        <v>0</v>
      </c>
    </row>
    <row r="51" spans="1:56" x14ac:dyDescent="0.2">
      <c r="A51" t="str">
        <f>EX2</f>
        <v>Mainz</v>
      </c>
      <c r="D51" t="e">
        <f ca="1">SUM(FM38:FP38)-(34-#REF!)</f>
        <v>#REF!</v>
      </c>
      <c r="E51">
        <f ca="1">SUM(FF39:FJ39)-(34-'i1'!J41)</f>
        <v>0</v>
      </c>
      <c r="F51" s="104" t="e">
        <f t="shared" ca="1" si="252"/>
        <v>#REF!</v>
      </c>
      <c r="G51" s="97" t="e">
        <f t="shared" ca="1" si="253"/>
        <v>#REF!</v>
      </c>
      <c r="H51" t="e">
        <f t="shared" ca="1" si="254"/>
        <v>#REF!</v>
      </c>
      <c r="I51" t="e">
        <f t="shared" ca="1" si="255"/>
        <v>#REF!</v>
      </c>
      <c r="J51">
        <f>(Spieltage!DS9)+1</f>
        <v>10</v>
      </c>
      <c r="K51" t="e">
        <f t="shared" ca="1" si="256"/>
        <v>#REF!</v>
      </c>
      <c r="L51" t="e">
        <f t="shared" ca="1" si="257"/>
        <v>#REF!</v>
      </c>
      <c r="M51" t="e">
        <f t="shared" ca="1" si="258"/>
        <v>#REF!</v>
      </c>
      <c r="T51" s="100">
        <v>9</v>
      </c>
      <c r="U51">
        <f t="shared" ca="1" si="259"/>
        <v>0</v>
      </c>
      <c r="V51" s="6">
        <f t="shared" ca="1" si="260"/>
        <v>0</v>
      </c>
      <c r="W51">
        <f t="shared" ca="1" si="261"/>
        <v>0</v>
      </c>
      <c r="X51" s="6">
        <f t="shared" ca="1" si="262"/>
        <v>0</v>
      </c>
      <c r="Y51">
        <f t="shared" ca="1" si="263"/>
        <v>0</v>
      </c>
      <c r="Z51" s="6">
        <f t="shared" ca="1" si="264"/>
        <v>0</v>
      </c>
      <c r="AA51">
        <f t="shared" ca="1" si="265"/>
        <v>0</v>
      </c>
      <c r="AB51" s="6">
        <f t="shared" ca="1" si="266"/>
        <v>0</v>
      </c>
      <c r="AC51">
        <f t="shared" ca="1" si="267"/>
        <v>0</v>
      </c>
      <c r="AD51" s="6">
        <f t="shared" ca="1" si="268"/>
        <v>0</v>
      </c>
      <c r="AE51">
        <f t="shared" ca="1" si="269"/>
        <v>0</v>
      </c>
      <c r="AF51" s="6">
        <f t="shared" ca="1" si="270"/>
        <v>0</v>
      </c>
      <c r="AG51">
        <f t="shared" ca="1" si="271"/>
        <v>0</v>
      </c>
      <c r="AH51" s="6">
        <f t="shared" ca="1" si="272"/>
        <v>0</v>
      </c>
      <c r="AI51">
        <f t="shared" ca="1" si="273"/>
        <v>0</v>
      </c>
      <c r="AJ51" s="6">
        <f t="shared" ca="1" si="274"/>
        <v>0</v>
      </c>
      <c r="AK51">
        <f t="shared" ca="1" si="275"/>
        <v>0</v>
      </c>
      <c r="AL51" s="6">
        <f t="shared" ca="1" si="276"/>
        <v>0</v>
      </c>
      <c r="AM51">
        <f t="shared" ca="1" si="277"/>
        <v>0</v>
      </c>
      <c r="AN51" s="6">
        <f t="shared" ca="1" si="278"/>
        <v>0</v>
      </c>
      <c r="AO51">
        <f t="shared" ca="1" si="279"/>
        <v>0</v>
      </c>
      <c r="AP51" s="6">
        <f t="shared" ca="1" si="280"/>
        <v>0</v>
      </c>
      <c r="AQ51">
        <f t="shared" ca="1" si="281"/>
        <v>0</v>
      </c>
      <c r="AR51" s="6">
        <f t="shared" ca="1" si="282"/>
        <v>0</v>
      </c>
      <c r="AS51" s="97">
        <f t="shared" ca="1" si="283"/>
        <v>0</v>
      </c>
      <c r="AT51" s="6">
        <f t="shared" ca="1" si="284"/>
        <v>0</v>
      </c>
      <c r="AU51">
        <f t="shared" ca="1" si="285"/>
        <v>0</v>
      </c>
      <c r="AV51" s="6">
        <f t="shared" ca="1" si="286"/>
        <v>0</v>
      </c>
      <c r="AW51">
        <f t="shared" ca="1" si="287"/>
        <v>0</v>
      </c>
      <c r="AX51" s="6">
        <f t="shared" ca="1" si="288"/>
        <v>0</v>
      </c>
      <c r="AY51">
        <f t="shared" ca="1" si="289"/>
        <v>0</v>
      </c>
      <c r="AZ51" s="6">
        <f t="shared" ca="1" si="290"/>
        <v>0</v>
      </c>
      <c r="BA51">
        <f t="shared" ca="1" si="291"/>
        <v>0</v>
      </c>
      <c r="BB51" s="6">
        <f t="shared" ca="1" si="292"/>
        <v>0</v>
      </c>
      <c r="BC51">
        <f t="shared" ca="1" si="293"/>
        <v>0</v>
      </c>
      <c r="BD51" s="6">
        <f t="shared" ca="1" si="294"/>
        <v>0</v>
      </c>
    </row>
    <row r="52" spans="1:56" x14ac:dyDescent="0.2">
      <c r="A52" t="str">
        <f>FQ2</f>
        <v>Köln</v>
      </c>
      <c r="D52" t="e">
        <f ca="1">SUM(GF38:GI38)-(34-#REF!)</f>
        <v>#REF!</v>
      </c>
      <c r="E52">
        <f ca="1">SUM(FY39:GC39)-(34-'i1'!K41)</f>
        <v>0</v>
      </c>
      <c r="F52" s="104" t="e">
        <f t="shared" ca="1" si="252"/>
        <v>#REF!</v>
      </c>
      <c r="G52" s="97" t="e">
        <f t="shared" ca="1" si="253"/>
        <v>#REF!</v>
      </c>
      <c r="H52" t="e">
        <f t="shared" ca="1" si="254"/>
        <v>#REF!</v>
      </c>
      <c r="I52" t="e">
        <f t="shared" ca="1" si="255"/>
        <v>#REF!</v>
      </c>
      <c r="J52">
        <f>(Spieltage!DS10)+1</f>
        <v>9</v>
      </c>
      <c r="K52" t="e">
        <f t="shared" ca="1" si="256"/>
        <v>#REF!</v>
      </c>
      <c r="L52" t="e">
        <f t="shared" ca="1" si="257"/>
        <v>#REF!</v>
      </c>
      <c r="M52" t="e">
        <f t="shared" ca="1" si="258"/>
        <v>#REF!</v>
      </c>
      <c r="T52" s="100">
        <v>10</v>
      </c>
      <c r="U52">
        <f t="shared" ca="1" si="259"/>
        <v>0</v>
      </c>
      <c r="V52" s="6">
        <f t="shared" ca="1" si="260"/>
        <v>0</v>
      </c>
      <c r="W52">
        <f t="shared" ca="1" si="261"/>
        <v>0</v>
      </c>
      <c r="X52" s="6">
        <f t="shared" ca="1" si="262"/>
        <v>0</v>
      </c>
      <c r="Y52">
        <f t="shared" ca="1" si="263"/>
        <v>0</v>
      </c>
      <c r="Z52" s="6">
        <f t="shared" ca="1" si="264"/>
        <v>0</v>
      </c>
      <c r="AA52">
        <f t="shared" ca="1" si="265"/>
        <v>0</v>
      </c>
      <c r="AB52" s="6">
        <f t="shared" ca="1" si="266"/>
        <v>0</v>
      </c>
      <c r="AC52">
        <f t="shared" ca="1" si="267"/>
        <v>0</v>
      </c>
      <c r="AD52" s="6">
        <f t="shared" ca="1" si="268"/>
        <v>0</v>
      </c>
      <c r="AE52">
        <f t="shared" ca="1" si="269"/>
        <v>0</v>
      </c>
      <c r="AF52" s="6">
        <f t="shared" ca="1" si="270"/>
        <v>0</v>
      </c>
      <c r="AG52">
        <f t="shared" ca="1" si="271"/>
        <v>0</v>
      </c>
      <c r="AH52" s="6">
        <f t="shared" ca="1" si="272"/>
        <v>0</v>
      </c>
      <c r="AI52">
        <f t="shared" ca="1" si="273"/>
        <v>0</v>
      </c>
      <c r="AJ52" s="6">
        <f t="shared" ca="1" si="274"/>
        <v>0</v>
      </c>
      <c r="AK52">
        <f t="shared" ca="1" si="275"/>
        <v>0</v>
      </c>
      <c r="AL52" s="6">
        <f t="shared" ca="1" si="276"/>
        <v>0</v>
      </c>
      <c r="AM52">
        <f t="shared" ca="1" si="277"/>
        <v>0</v>
      </c>
      <c r="AN52" s="6">
        <f t="shared" ca="1" si="278"/>
        <v>0</v>
      </c>
      <c r="AO52">
        <f t="shared" ca="1" si="279"/>
        <v>0</v>
      </c>
      <c r="AP52" s="6">
        <f t="shared" ca="1" si="280"/>
        <v>0</v>
      </c>
      <c r="AQ52">
        <f t="shared" ca="1" si="281"/>
        <v>0</v>
      </c>
      <c r="AR52" s="6">
        <f t="shared" ca="1" si="282"/>
        <v>0</v>
      </c>
      <c r="AS52" s="97">
        <f t="shared" ca="1" si="283"/>
        <v>0</v>
      </c>
      <c r="AT52" s="6">
        <f t="shared" ca="1" si="284"/>
        <v>0</v>
      </c>
      <c r="AU52">
        <f t="shared" ca="1" si="285"/>
        <v>0</v>
      </c>
      <c r="AV52" s="6">
        <f t="shared" ca="1" si="286"/>
        <v>0</v>
      </c>
      <c r="AW52">
        <f t="shared" ca="1" si="287"/>
        <v>0</v>
      </c>
      <c r="AX52" s="6">
        <f t="shared" ca="1" si="288"/>
        <v>0</v>
      </c>
      <c r="AY52">
        <f t="shared" ca="1" si="289"/>
        <v>0</v>
      </c>
      <c r="AZ52" s="6">
        <f t="shared" ca="1" si="290"/>
        <v>0</v>
      </c>
      <c r="BA52">
        <f t="shared" ca="1" si="291"/>
        <v>0</v>
      </c>
      <c r="BB52" s="6">
        <f t="shared" ca="1" si="292"/>
        <v>0</v>
      </c>
      <c r="BC52">
        <f t="shared" ca="1" si="293"/>
        <v>0</v>
      </c>
      <c r="BD52" s="6">
        <f t="shared" ca="1" si="294"/>
        <v>0</v>
      </c>
    </row>
    <row r="53" spans="1:56" x14ac:dyDescent="0.2">
      <c r="A53" t="str">
        <f>GJ2</f>
        <v>M'gladb.</v>
      </c>
      <c r="D53" t="e">
        <f ca="1">SUM(GY38:HB38)-(34-#REF!)</f>
        <v>#REF!</v>
      </c>
      <c r="E53">
        <f ca="1">SUM(GR39:GV39)-(34-'i1'!L41)</f>
        <v>0</v>
      </c>
      <c r="F53" s="104" t="e">
        <f t="shared" ca="1" si="252"/>
        <v>#REF!</v>
      </c>
      <c r="G53" s="97" t="e">
        <f t="shared" ca="1" si="253"/>
        <v>#REF!</v>
      </c>
      <c r="H53" t="e">
        <f t="shared" ca="1" si="254"/>
        <v>#REF!</v>
      </c>
      <c r="I53" t="e">
        <f t="shared" ca="1" si="255"/>
        <v>#REF!</v>
      </c>
      <c r="J53">
        <f>(Spieltage!DS11)+1</f>
        <v>8</v>
      </c>
      <c r="K53" t="e">
        <f t="shared" ca="1" si="256"/>
        <v>#REF!</v>
      </c>
      <c r="L53" t="e">
        <f t="shared" ca="1" si="257"/>
        <v>#REF!</v>
      </c>
      <c r="M53" t="e">
        <f t="shared" ca="1" si="258"/>
        <v>#REF!</v>
      </c>
      <c r="T53" s="100">
        <v>11</v>
      </c>
      <c r="U53">
        <f t="shared" ca="1" si="259"/>
        <v>0</v>
      </c>
      <c r="V53" s="6">
        <f t="shared" ca="1" si="260"/>
        <v>0</v>
      </c>
      <c r="W53">
        <f t="shared" ca="1" si="261"/>
        <v>0</v>
      </c>
      <c r="X53" s="6">
        <f t="shared" ca="1" si="262"/>
        <v>0</v>
      </c>
      <c r="Y53">
        <f t="shared" ca="1" si="263"/>
        <v>0</v>
      </c>
      <c r="Z53" s="6">
        <f t="shared" ca="1" si="264"/>
        <v>0</v>
      </c>
      <c r="AA53">
        <f t="shared" ca="1" si="265"/>
        <v>0</v>
      </c>
      <c r="AB53" s="6">
        <f t="shared" ca="1" si="266"/>
        <v>0</v>
      </c>
      <c r="AC53">
        <f t="shared" ca="1" si="267"/>
        <v>0</v>
      </c>
      <c r="AD53" s="6">
        <f t="shared" ca="1" si="268"/>
        <v>0</v>
      </c>
      <c r="AE53">
        <f t="shared" ca="1" si="269"/>
        <v>0</v>
      </c>
      <c r="AF53" s="6">
        <f t="shared" ca="1" si="270"/>
        <v>0</v>
      </c>
      <c r="AG53">
        <f t="shared" ca="1" si="271"/>
        <v>0</v>
      </c>
      <c r="AH53" s="6">
        <f t="shared" ca="1" si="272"/>
        <v>0</v>
      </c>
      <c r="AI53">
        <f t="shared" ca="1" si="273"/>
        <v>0</v>
      </c>
      <c r="AJ53" s="6">
        <f t="shared" ca="1" si="274"/>
        <v>0</v>
      </c>
      <c r="AK53">
        <f t="shared" ca="1" si="275"/>
        <v>0</v>
      </c>
      <c r="AL53" s="6">
        <f t="shared" ca="1" si="276"/>
        <v>0</v>
      </c>
      <c r="AM53">
        <f t="shared" ca="1" si="277"/>
        <v>0</v>
      </c>
      <c r="AN53" s="6">
        <f t="shared" ca="1" si="278"/>
        <v>0</v>
      </c>
      <c r="AO53">
        <f t="shared" ca="1" si="279"/>
        <v>0</v>
      </c>
      <c r="AP53" s="6">
        <f t="shared" ca="1" si="280"/>
        <v>0</v>
      </c>
      <c r="AQ53">
        <f t="shared" ca="1" si="281"/>
        <v>0</v>
      </c>
      <c r="AR53" s="6">
        <f t="shared" ca="1" si="282"/>
        <v>0</v>
      </c>
      <c r="AS53" s="97">
        <f t="shared" ca="1" si="283"/>
        <v>0</v>
      </c>
      <c r="AT53" s="6">
        <f t="shared" ca="1" si="284"/>
        <v>0</v>
      </c>
      <c r="AU53">
        <f t="shared" ca="1" si="285"/>
        <v>0</v>
      </c>
      <c r="AV53" s="6">
        <f t="shared" ca="1" si="286"/>
        <v>0</v>
      </c>
      <c r="AW53">
        <f t="shared" ca="1" si="287"/>
        <v>0</v>
      </c>
      <c r="AX53" s="6">
        <f t="shared" ca="1" si="288"/>
        <v>0</v>
      </c>
      <c r="AY53">
        <f t="shared" ca="1" si="289"/>
        <v>0</v>
      </c>
      <c r="AZ53" s="6">
        <f t="shared" ca="1" si="290"/>
        <v>0</v>
      </c>
      <c r="BA53">
        <f t="shared" ca="1" si="291"/>
        <v>0</v>
      </c>
      <c r="BB53" s="6">
        <f t="shared" ca="1" si="292"/>
        <v>0</v>
      </c>
      <c r="BC53">
        <f t="shared" ca="1" si="293"/>
        <v>0</v>
      </c>
      <c r="BD53" s="6">
        <f t="shared" ca="1" si="294"/>
        <v>0</v>
      </c>
    </row>
    <row r="54" spans="1:56" x14ac:dyDescent="0.2">
      <c r="A54" t="str">
        <f>HC2</f>
        <v>HSV</v>
      </c>
      <c r="D54" t="e">
        <f ca="1">SUM(HR38:HU38)-(34-#REF!)</f>
        <v>#REF!</v>
      </c>
      <c r="E54">
        <f ca="1">SUM(HK39:HO39)-(34-'i1'!M41)</f>
        <v>0</v>
      </c>
      <c r="F54" s="104" t="e">
        <f t="shared" ca="1" si="252"/>
        <v>#REF!</v>
      </c>
      <c r="G54" s="97" t="e">
        <f t="shared" ca="1" si="253"/>
        <v>#REF!</v>
      </c>
      <c r="H54" t="e">
        <f t="shared" ca="1" si="254"/>
        <v>#REF!</v>
      </c>
      <c r="I54" t="e">
        <f t="shared" ca="1" si="255"/>
        <v>#REF!</v>
      </c>
      <c r="J54">
        <f>(Spieltage!DS12)+1</f>
        <v>7</v>
      </c>
      <c r="K54" t="e">
        <f t="shared" ca="1" si="256"/>
        <v>#REF!</v>
      </c>
      <c r="L54" t="e">
        <f t="shared" ca="1" si="257"/>
        <v>#REF!</v>
      </c>
      <c r="M54" t="e">
        <f t="shared" ca="1" si="258"/>
        <v>#REF!</v>
      </c>
      <c r="T54" s="100">
        <v>12</v>
      </c>
      <c r="U54">
        <f t="shared" ca="1" si="259"/>
        <v>0</v>
      </c>
      <c r="V54" s="6">
        <f t="shared" ca="1" si="260"/>
        <v>0</v>
      </c>
      <c r="W54">
        <f t="shared" ca="1" si="261"/>
        <v>0</v>
      </c>
      <c r="X54" s="6">
        <f t="shared" ca="1" si="262"/>
        <v>0</v>
      </c>
      <c r="Y54">
        <f t="shared" ca="1" si="263"/>
        <v>0</v>
      </c>
      <c r="Z54" s="6">
        <f t="shared" ca="1" si="264"/>
        <v>0</v>
      </c>
      <c r="AA54">
        <f t="shared" ca="1" si="265"/>
        <v>0</v>
      </c>
      <c r="AB54" s="6">
        <f t="shared" ca="1" si="266"/>
        <v>0</v>
      </c>
      <c r="AC54">
        <f t="shared" ca="1" si="267"/>
        <v>0</v>
      </c>
      <c r="AD54" s="6">
        <f t="shared" ca="1" si="268"/>
        <v>0</v>
      </c>
      <c r="AE54">
        <f t="shared" ca="1" si="269"/>
        <v>0</v>
      </c>
      <c r="AF54" s="6">
        <f t="shared" ca="1" si="270"/>
        <v>0</v>
      </c>
      <c r="AG54">
        <f t="shared" ca="1" si="271"/>
        <v>0</v>
      </c>
      <c r="AH54" s="6">
        <f t="shared" ca="1" si="272"/>
        <v>0</v>
      </c>
      <c r="AI54">
        <f t="shared" ca="1" si="273"/>
        <v>0</v>
      </c>
      <c r="AJ54" s="6">
        <f t="shared" ca="1" si="274"/>
        <v>0</v>
      </c>
      <c r="AK54">
        <f t="shared" ca="1" si="275"/>
        <v>0</v>
      </c>
      <c r="AL54" s="6">
        <f t="shared" ca="1" si="276"/>
        <v>0</v>
      </c>
      <c r="AM54">
        <f t="shared" ca="1" si="277"/>
        <v>0</v>
      </c>
      <c r="AN54" s="6">
        <f t="shared" ca="1" si="278"/>
        <v>0</v>
      </c>
      <c r="AO54">
        <f t="shared" ca="1" si="279"/>
        <v>0</v>
      </c>
      <c r="AP54" s="6">
        <f t="shared" ca="1" si="280"/>
        <v>0</v>
      </c>
      <c r="AQ54">
        <f t="shared" ca="1" si="281"/>
        <v>0</v>
      </c>
      <c r="AR54" s="6">
        <f t="shared" ca="1" si="282"/>
        <v>0</v>
      </c>
      <c r="AS54" s="97">
        <f t="shared" ca="1" si="283"/>
        <v>0</v>
      </c>
      <c r="AT54" s="6">
        <f t="shared" ca="1" si="284"/>
        <v>0</v>
      </c>
      <c r="AU54">
        <f t="shared" ca="1" si="285"/>
        <v>0</v>
      </c>
      <c r="AV54" s="6">
        <f t="shared" ca="1" si="286"/>
        <v>0</v>
      </c>
      <c r="AW54">
        <f t="shared" ca="1" si="287"/>
        <v>0</v>
      </c>
      <c r="AX54" s="6">
        <f t="shared" ca="1" si="288"/>
        <v>0</v>
      </c>
      <c r="AY54">
        <f t="shared" ca="1" si="289"/>
        <v>0</v>
      </c>
      <c r="AZ54" s="6">
        <f t="shared" ca="1" si="290"/>
        <v>0</v>
      </c>
      <c r="BA54">
        <f t="shared" ca="1" si="291"/>
        <v>0</v>
      </c>
      <c r="BB54" s="6">
        <f t="shared" ca="1" si="292"/>
        <v>0</v>
      </c>
      <c r="BC54">
        <f t="shared" ca="1" si="293"/>
        <v>0</v>
      </c>
      <c r="BD54" s="6">
        <f t="shared" ca="1" si="294"/>
        <v>0</v>
      </c>
    </row>
    <row r="55" spans="1:56" x14ac:dyDescent="0.2">
      <c r="A55" t="str">
        <f>HV2</f>
        <v>Union</v>
      </c>
      <c r="D55" t="e">
        <f ca="1">SUM(IK38:IN38)-(34-#REF!)</f>
        <v>#REF!</v>
      </c>
      <c r="E55">
        <f ca="1">SUM(ID39:II39)-(34-'i1'!N41)</f>
        <v>0</v>
      </c>
      <c r="F55" s="104" t="e">
        <f t="shared" ca="1" si="252"/>
        <v>#REF!</v>
      </c>
      <c r="G55" s="97" t="e">
        <f t="shared" ca="1" si="253"/>
        <v>#REF!</v>
      </c>
      <c r="H55" t="e">
        <f t="shared" ca="1" si="254"/>
        <v>#REF!</v>
      </c>
      <c r="I55" t="e">
        <f t="shared" ca="1" si="255"/>
        <v>#REF!</v>
      </c>
      <c r="J55">
        <f>(Spieltage!DS13)+1</f>
        <v>6</v>
      </c>
      <c r="K55" t="e">
        <f t="shared" ca="1" si="256"/>
        <v>#REF!</v>
      </c>
      <c r="L55" t="e">
        <f t="shared" ca="1" si="257"/>
        <v>#REF!</v>
      </c>
      <c r="M55" t="e">
        <f t="shared" ca="1" si="258"/>
        <v>#REF!</v>
      </c>
      <c r="T55" s="100">
        <v>13</v>
      </c>
      <c r="U55">
        <f t="shared" ca="1" si="259"/>
        <v>0</v>
      </c>
      <c r="V55" s="6">
        <f t="shared" ca="1" si="260"/>
        <v>0</v>
      </c>
      <c r="W55">
        <f t="shared" ca="1" si="261"/>
        <v>0</v>
      </c>
      <c r="X55" s="6">
        <f t="shared" ca="1" si="262"/>
        <v>0</v>
      </c>
      <c r="Y55">
        <f t="shared" ca="1" si="263"/>
        <v>0</v>
      </c>
      <c r="Z55" s="6">
        <f t="shared" ca="1" si="264"/>
        <v>0</v>
      </c>
      <c r="AA55">
        <f t="shared" ca="1" si="265"/>
        <v>0</v>
      </c>
      <c r="AB55" s="6">
        <f t="shared" ca="1" si="266"/>
        <v>0</v>
      </c>
      <c r="AC55">
        <f t="shared" ca="1" si="267"/>
        <v>0</v>
      </c>
      <c r="AD55" s="6">
        <f t="shared" ca="1" si="268"/>
        <v>0</v>
      </c>
      <c r="AE55">
        <f t="shared" ca="1" si="269"/>
        <v>0</v>
      </c>
      <c r="AF55" s="6">
        <f t="shared" ca="1" si="270"/>
        <v>0</v>
      </c>
      <c r="AG55">
        <f t="shared" ca="1" si="271"/>
        <v>0</v>
      </c>
      <c r="AH55" s="6">
        <f t="shared" ca="1" si="272"/>
        <v>0</v>
      </c>
      <c r="AI55">
        <f t="shared" ca="1" si="273"/>
        <v>0</v>
      </c>
      <c r="AJ55" s="6">
        <f t="shared" ca="1" si="274"/>
        <v>0</v>
      </c>
      <c r="AK55">
        <f t="shared" ca="1" si="275"/>
        <v>0</v>
      </c>
      <c r="AL55" s="6">
        <f t="shared" ca="1" si="276"/>
        <v>0</v>
      </c>
      <c r="AM55">
        <f t="shared" ca="1" si="277"/>
        <v>0</v>
      </c>
      <c r="AN55" s="6">
        <f t="shared" ca="1" si="278"/>
        <v>0</v>
      </c>
      <c r="AO55">
        <f t="shared" ca="1" si="279"/>
        <v>0</v>
      </c>
      <c r="AP55" s="6">
        <f t="shared" ca="1" si="280"/>
        <v>0</v>
      </c>
      <c r="AQ55">
        <f t="shared" ca="1" si="281"/>
        <v>0</v>
      </c>
      <c r="AR55" s="6">
        <f t="shared" ca="1" si="282"/>
        <v>0</v>
      </c>
      <c r="AS55" s="97">
        <f t="shared" ca="1" si="283"/>
        <v>0</v>
      </c>
      <c r="AT55" s="6">
        <f t="shared" ca="1" si="284"/>
        <v>0</v>
      </c>
      <c r="AU55">
        <f t="shared" ca="1" si="285"/>
        <v>0</v>
      </c>
      <c r="AV55" s="6">
        <f t="shared" ca="1" si="286"/>
        <v>0</v>
      </c>
      <c r="AW55">
        <f t="shared" ca="1" si="287"/>
        <v>0</v>
      </c>
      <c r="AX55" s="6">
        <f t="shared" ca="1" si="288"/>
        <v>0</v>
      </c>
      <c r="AY55">
        <f t="shared" ca="1" si="289"/>
        <v>0</v>
      </c>
      <c r="AZ55" s="6">
        <f t="shared" ca="1" si="290"/>
        <v>0</v>
      </c>
      <c r="BA55">
        <f t="shared" ca="1" si="291"/>
        <v>0</v>
      </c>
      <c r="BB55" s="6">
        <f t="shared" ca="1" si="292"/>
        <v>0</v>
      </c>
      <c r="BC55">
        <f t="shared" ca="1" si="293"/>
        <v>0</v>
      </c>
      <c r="BD55" s="6">
        <f t="shared" ca="1" si="294"/>
        <v>0</v>
      </c>
    </row>
    <row r="56" spans="1:56" x14ac:dyDescent="0.2">
      <c r="A56" t="str">
        <f>IO2</f>
        <v>Stuttgart</v>
      </c>
      <c r="D56" t="e">
        <f ca="1">SUM(JD38:JG38)-(34-#REF!)</f>
        <v>#REF!</v>
      </c>
      <c r="E56">
        <f ca="1">SUM(IW39:JA39)-(34-'i1'!O41)</f>
        <v>0</v>
      </c>
      <c r="F56" s="104" t="e">
        <f t="shared" ca="1" si="252"/>
        <v>#REF!</v>
      </c>
      <c r="G56" s="97" t="e">
        <f t="shared" ca="1" si="253"/>
        <v>#REF!</v>
      </c>
      <c r="H56" t="e">
        <f t="shared" ca="1" si="254"/>
        <v>#REF!</v>
      </c>
      <c r="I56" t="e">
        <f t="shared" ca="1" si="255"/>
        <v>#REF!</v>
      </c>
      <c r="J56">
        <f>(Spieltage!DS14)+1</f>
        <v>5</v>
      </c>
      <c r="K56" t="e">
        <f t="shared" ca="1" si="256"/>
        <v>#REF!</v>
      </c>
      <c r="L56" t="e">
        <f t="shared" ca="1" si="257"/>
        <v>#REF!</v>
      </c>
      <c r="M56" t="e">
        <f t="shared" ca="1" si="258"/>
        <v>#REF!</v>
      </c>
      <c r="T56" s="100">
        <v>14</v>
      </c>
      <c r="U56">
        <f t="shared" ca="1" si="259"/>
        <v>0</v>
      </c>
      <c r="V56" s="6">
        <f t="shared" ca="1" si="260"/>
        <v>0</v>
      </c>
      <c r="W56">
        <f t="shared" ca="1" si="261"/>
        <v>0</v>
      </c>
      <c r="X56" s="6">
        <f t="shared" ca="1" si="262"/>
        <v>0</v>
      </c>
      <c r="Y56">
        <f t="shared" ca="1" si="263"/>
        <v>0</v>
      </c>
      <c r="Z56" s="6">
        <f t="shared" ca="1" si="264"/>
        <v>0</v>
      </c>
      <c r="AA56">
        <f t="shared" ca="1" si="265"/>
        <v>0</v>
      </c>
      <c r="AB56" s="6">
        <f t="shared" ca="1" si="266"/>
        <v>0</v>
      </c>
      <c r="AC56">
        <f t="shared" ca="1" si="267"/>
        <v>0</v>
      </c>
      <c r="AD56" s="6">
        <f t="shared" ca="1" si="268"/>
        <v>0</v>
      </c>
      <c r="AE56">
        <f t="shared" ca="1" si="269"/>
        <v>0</v>
      </c>
      <c r="AF56" s="6">
        <f t="shared" ca="1" si="270"/>
        <v>0</v>
      </c>
      <c r="AG56">
        <f t="shared" ca="1" si="271"/>
        <v>0</v>
      </c>
      <c r="AH56" s="6">
        <f t="shared" ca="1" si="272"/>
        <v>0</v>
      </c>
      <c r="AI56">
        <f t="shared" ca="1" si="273"/>
        <v>0</v>
      </c>
      <c r="AJ56" s="6">
        <f t="shared" ca="1" si="274"/>
        <v>0</v>
      </c>
      <c r="AK56">
        <f t="shared" ca="1" si="275"/>
        <v>0</v>
      </c>
      <c r="AL56" s="6">
        <f t="shared" ca="1" si="276"/>
        <v>0</v>
      </c>
      <c r="AM56">
        <f t="shared" ca="1" si="277"/>
        <v>0</v>
      </c>
      <c r="AN56" s="6">
        <f t="shared" ca="1" si="278"/>
        <v>0</v>
      </c>
      <c r="AO56">
        <f t="shared" ca="1" si="279"/>
        <v>0</v>
      </c>
      <c r="AP56" s="6">
        <f t="shared" ca="1" si="280"/>
        <v>0</v>
      </c>
      <c r="AQ56">
        <f t="shared" ca="1" si="281"/>
        <v>0</v>
      </c>
      <c r="AR56" s="6">
        <f t="shared" ca="1" si="282"/>
        <v>0</v>
      </c>
      <c r="AS56" s="97">
        <f t="shared" ca="1" si="283"/>
        <v>0</v>
      </c>
      <c r="AT56" s="6">
        <f t="shared" ca="1" si="284"/>
        <v>0</v>
      </c>
      <c r="AU56">
        <f t="shared" ca="1" si="285"/>
        <v>0</v>
      </c>
      <c r="AV56" s="6">
        <f t="shared" ca="1" si="286"/>
        <v>0</v>
      </c>
      <c r="AW56">
        <f t="shared" ca="1" si="287"/>
        <v>0</v>
      </c>
      <c r="AX56" s="6">
        <f t="shared" ca="1" si="288"/>
        <v>0</v>
      </c>
      <c r="AY56">
        <f t="shared" ca="1" si="289"/>
        <v>0</v>
      </c>
      <c r="AZ56" s="6">
        <f t="shared" ca="1" si="290"/>
        <v>0</v>
      </c>
      <c r="BA56">
        <f t="shared" ca="1" si="291"/>
        <v>0</v>
      </c>
      <c r="BB56" s="6">
        <f t="shared" ca="1" si="292"/>
        <v>0</v>
      </c>
      <c r="BC56">
        <f t="shared" ca="1" si="293"/>
        <v>0</v>
      </c>
      <c r="BD56" s="6">
        <f t="shared" ca="1" si="294"/>
        <v>0</v>
      </c>
    </row>
    <row r="57" spans="1:56" x14ac:dyDescent="0.2">
      <c r="A57" t="str">
        <f>JH2</f>
        <v>St. Pauli</v>
      </c>
      <c r="D57" t="e">
        <f ca="1">SUM(JW38:JZ38)-(34-#REF!)</f>
        <v>#REF!</v>
      </c>
      <c r="E57">
        <f ca="1">SUM(JP39:JT39)-(34-'i1'!P41)</f>
        <v>0</v>
      </c>
      <c r="F57" s="104" t="e">
        <f t="shared" ca="1" si="252"/>
        <v>#REF!</v>
      </c>
      <c r="G57" s="97" t="e">
        <f t="shared" ca="1" si="253"/>
        <v>#REF!</v>
      </c>
      <c r="H57" t="e">
        <f t="shared" ca="1" si="254"/>
        <v>#REF!</v>
      </c>
      <c r="I57" t="e">
        <f t="shared" ca="1" si="255"/>
        <v>#REF!</v>
      </c>
      <c r="J57">
        <f>(Spieltage!DS15)+1</f>
        <v>4</v>
      </c>
      <c r="K57" t="e">
        <f t="shared" ca="1" si="256"/>
        <v>#REF!</v>
      </c>
      <c r="L57" t="e">
        <f t="shared" ca="1" si="257"/>
        <v>#REF!</v>
      </c>
      <c r="M57" t="e">
        <f t="shared" ca="1" si="258"/>
        <v>#REF!</v>
      </c>
      <c r="T57" s="100">
        <v>15</v>
      </c>
      <c r="U57">
        <f t="shared" ca="1" si="259"/>
        <v>0</v>
      </c>
      <c r="V57" s="6">
        <f t="shared" ca="1" si="260"/>
        <v>0</v>
      </c>
      <c r="W57">
        <f t="shared" ca="1" si="261"/>
        <v>0</v>
      </c>
      <c r="X57" s="6">
        <f t="shared" ca="1" si="262"/>
        <v>0</v>
      </c>
      <c r="Y57">
        <f t="shared" ca="1" si="263"/>
        <v>0</v>
      </c>
      <c r="Z57" s="6">
        <f t="shared" ca="1" si="264"/>
        <v>0</v>
      </c>
      <c r="AA57">
        <f t="shared" ca="1" si="265"/>
        <v>0</v>
      </c>
      <c r="AB57" s="6">
        <f t="shared" ca="1" si="266"/>
        <v>0</v>
      </c>
      <c r="AC57">
        <f t="shared" ca="1" si="267"/>
        <v>0</v>
      </c>
      <c r="AD57" s="6">
        <f t="shared" ca="1" si="268"/>
        <v>0</v>
      </c>
      <c r="AE57">
        <f t="shared" ca="1" si="269"/>
        <v>0</v>
      </c>
      <c r="AF57" s="6">
        <f t="shared" ca="1" si="270"/>
        <v>0</v>
      </c>
      <c r="AG57">
        <f t="shared" ca="1" si="271"/>
        <v>0</v>
      </c>
      <c r="AH57" s="6">
        <f t="shared" ca="1" si="272"/>
        <v>0</v>
      </c>
      <c r="AI57">
        <f t="shared" ca="1" si="273"/>
        <v>0</v>
      </c>
      <c r="AJ57" s="6">
        <f t="shared" ca="1" si="274"/>
        <v>0</v>
      </c>
      <c r="AK57">
        <f t="shared" ca="1" si="275"/>
        <v>0</v>
      </c>
      <c r="AL57" s="6">
        <f t="shared" ca="1" si="276"/>
        <v>0</v>
      </c>
      <c r="AM57">
        <f t="shared" ca="1" si="277"/>
        <v>0</v>
      </c>
      <c r="AN57" s="6">
        <f t="shared" ca="1" si="278"/>
        <v>0</v>
      </c>
      <c r="AO57">
        <f t="shared" ca="1" si="279"/>
        <v>0</v>
      </c>
      <c r="AP57" s="6">
        <f t="shared" ca="1" si="280"/>
        <v>0</v>
      </c>
      <c r="AQ57">
        <f t="shared" ca="1" si="281"/>
        <v>0</v>
      </c>
      <c r="AR57" s="6">
        <f t="shared" ca="1" si="282"/>
        <v>0</v>
      </c>
      <c r="AS57" s="97">
        <f t="shared" ca="1" si="283"/>
        <v>0</v>
      </c>
      <c r="AT57" s="6">
        <f t="shared" ca="1" si="284"/>
        <v>0</v>
      </c>
      <c r="AU57">
        <f t="shared" ca="1" si="285"/>
        <v>0</v>
      </c>
      <c r="AV57" s="6">
        <f t="shared" ca="1" si="286"/>
        <v>0</v>
      </c>
      <c r="AW57">
        <f t="shared" ca="1" si="287"/>
        <v>0</v>
      </c>
      <c r="AX57" s="6">
        <f t="shared" ca="1" si="288"/>
        <v>0</v>
      </c>
      <c r="AY57">
        <f t="shared" ca="1" si="289"/>
        <v>0</v>
      </c>
      <c r="AZ57" s="6">
        <f t="shared" ca="1" si="290"/>
        <v>0</v>
      </c>
      <c r="BA57">
        <f t="shared" ca="1" si="291"/>
        <v>0</v>
      </c>
      <c r="BB57" s="6">
        <f t="shared" ca="1" si="292"/>
        <v>0</v>
      </c>
      <c r="BC57">
        <f t="shared" ca="1" si="293"/>
        <v>0</v>
      </c>
      <c r="BD57" s="6">
        <f t="shared" ca="1" si="294"/>
        <v>0</v>
      </c>
    </row>
    <row r="58" spans="1:56" x14ac:dyDescent="0.2">
      <c r="A58" t="str">
        <f>KA2</f>
        <v>Dortmund</v>
      </c>
      <c r="D58" t="e">
        <f ca="1">SUM(KP38:KS38)-(34-#REF!)</f>
        <v>#REF!</v>
      </c>
      <c r="E58">
        <f ca="1">SUM(KI39:KM39)-(34-'i1'!Q41)</f>
        <v>0</v>
      </c>
      <c r="F58" s="104" t="e">
        <f t="shared" ca="1" si="252"/>
        <v>#REF!</v>
      </c>
      <c r="G58" s="97" t="e">
        <f t="shared" ca="1" si="253"/>
        <v>#REF!</v>
      </c>
      <c r="H58" t="e">
        <f t="shared" ca="1" si="254"/>
        <v>#REF!</v>
      </c>
      <c r="I58" t="e">
        <f t="shared" ca="1" si="255"/>
        <v>#REF!</v>
      </c>
      <c r="J58">
        <f>(Spieltage!DS16)+1</f>
        <v>3</v>
      </c>
      <c r="K58" t="e">
        <f t="shared" ca="1" si="256"/>
        <v>#REF!</v>
      </c>
      <c r="L58" t="e">
        <f t="shared" ca="1" si="257"/>
        <v>#REF!</v>
      </c>
      <c r="M58" t="e">
        <f t="shared" ca="1" si="258"/>
        <v>#REF!</v>
      </c>
      <c r="T58" s="100">
        <v>16</v>
      </c>
      <c r="U58">
        <f t="shared" ca="1" si="259"/>
        <v>0</v>
      </c>
      <c r="V58" s="6">
        <f t="shared" ca="1" si="260"/>
        <v>0</v>
      </c>
      <c r="W58">
        <f t="shared" ca="1" si="261"/>
        <v>0</v>
      </c>
      <c r="X58" s="6">
        <f t="shared" ca="1" si="262"/>
        <v>0</v>
      </c>
      <c r="Y58">
        <f t="shared" ca="1" si="263"/>
        <v>0</v>
      </c>
      <c r="Z58" s="6">
        <f t="shared" ca="1" si="264"/>
        <v>0</v>
      </c>
      <c r="AA58">
        <f t="shared" ca="1" si="265"/>
        <v>0</v>
      </c>
      <c r="AB58" s="6">
        <f t="shared" ca="1" si="266"/>
        <v>0</v>
      </c>
      <c r="AC58">
        <f t="shared" ca="1" si="267"/>
        <v>0</v>
      </c>
      <c r="AD58" s="6">
        <f t="shared" ca="1" si="268"/>
        <v>0</v>
      </c>
      <c r="AE58">
        <f t="shared" ca="1" si="269"/>
        <v>0</v>
      </c>
      <c r="AF58" s="6">
        <f t="shared" ca="1" si="270"/>
        <v>0</v>
      </c>
      <c r="AG58">
        <f t="shared" ca="1" si="271"/>
        <v>0</v>
      </c>
      <c r="AH58" s="6">
        <f t="shared" ca="1" si="272"/>
        <v>0</v>
      </c>
      <c r="AI58">
        <f t="shared" ca="1" si="273"/>
        <v>0</v>
      </c>
      <c r="AJ58" s="6">
        <f t="shared" ca="1" si="274"/>
        <v>0</v>
      </c>
      <c r="AK58">
        <f t="shared" ca="1" si="275"/>
        <v>0</v>
      </c>
      <c r="AL58" s="6">
        <f t="shared" ca="1" si="276"/>
        <v>0</v>
      </c>
      <c r="AM58">
        <f t="shared" ca="1" si="277"/>
        <v>0</v>
      </c>
      <c r="AN58" s="6">
        <f t="shared" ca="1" si="278"/>
        <v>0</v>
      </c>
      <c r="AO58">
        <f t="shared" ca="1" si="279"/>
        <v>0</v>
      </c>
      <c r="AP58" s="6">
        <f t="shared" ca="1" si="280"/>
        <v>0</v>
      </c>
      <c r="AQ58">
        <f t="shared" ca="1" si="281"/>
        <v>0</v>
      </c>
      <c r="AR58" s="6">
        <f t="shared" ca="1" si="282"/>
        <v>0</v>
      </c>
      <c r="AS58" s="97">
        <f t="shared" ca="1" si="283"/>
        <v>0</v>
      </c>
      <c r="AT58" s="6">
        <f t="shared" ca="1" si="284"/>
        <v>0</v>
      </c>
      <c r="AU58">
        <f t="shared" ca="1" si="285"/>
        <v>0</v>
      </c>
      <c r="AV58" s="6">
        <f t="shared" ca="1" si="286"/>
        <v>0</v>
      </c>
      <c r="AW58">
        <f t="shared" ca="1" si="287"/>
        <v>0</v>
      </c>
      <c r="AX58" s="6">
        <f t="shared" ca="1" si="288"/>
        <v>0</v>
      </c>
      <c r="AY58">
        <f t="shared" ca="1" si="289"/>
        <v>0</v>
      </c>
      <c r="AZ58" s="6">
        <f t="shared" ca="1" si="290"/>
        <v>0</v>
      </c>
      <c r="BA58">
        <f t="shared" ca="1" si="291"/>
        <v>0</v>
      </c>
      <c r="BB58" s="6">
        <f t="shared" ca="1" si="292"/>
        <v>0</v>
      </c>
      <c r="BC58">
        <f t="shared" ca="1" si="293"/>
        <v>0</v>
      </c>
      <c r="BD58" s="6">
        <f t="shared" ca="1" si="294"/>
        <v>0</v>
      </c>
    </row>
    <row r="59" spans="1:56" x14ac:dyDescent="0.2">
      <c r="A59" t="str">
        <f>KT2</f>
        <v>Heidenheim</v>
      </c>
      <c r="D59" t="e">
        <f ca="1">SUM(LI38:LL38)-(34-#REF!)</f>
        <v>#REF!</v>
      </c>
      <c r="E59">
        <f ca="1">SUM(LB39:LF39)-(34-'i1'!R41)</f>
        <v>0</v>
      </c>
      <c r="F59" s="104" t="e">
        <f t="shared" ca="1" si="252"/>
        <v>#REF!</v>
      </c>
      <c r="G59" s="97" t="e">
        <f t="shared" ca="1" si="253"/>
        <v>#REF!</v>
      </c>
      <c r="H59" t="e">
        <f t="shared" ca="1" si="254"/>
        <v>#REF!</v>
      </c>
      <c r="I59" t="e">
        <f t="shared" ca="1" si="255"/>
        <v>#REF!</v>
      </c>
      <c r="J59">
        <f>(Spieltage!DS17)+1</f>
        <v>2</v>
      </c>
      <c r="K59" t="e">
        <f t="shared" ca="1" si="256"/>
        <v>#REF!</v>
      </c>
      <c r="L59" t="e">
        <f t="shared" ca="1" si="257"/>
        <v>#REF!</v>
      </c>
      <c r="M59" t="e">
        <f t="shared" ca="1" si="258"/>
        <v>#REF!</v>
      </c>
      <c r="T59" s="100">
        <v>17</v>
      </c>
      <c r="U59">
        <f t="shared" ca="1" si="259"/>
        <v>0</v>
      </c>
      <c r="V59" s="6">
        <f t="shared" ca="1" si="260"/>
        <v>0</v>
      </c>
      <c r="W59">
        <f t="shared" ca="1" si="261"/>
        <v>0</v>
      </c>
      <c r="X59" s="6">
        <f t="shared" ca="1" si="262"/>
        <v>0</v>
      </c>
      <c r="Y59">
        <f t="shared" ca="1" si="263"/>
        <v>0</v>
      </c>
      <c r="Z59" s="6">
        <f t="shared" ca="1" si="264"/>
        <v>0</v>
      </c>
      <c r="AA59">
        <f t="shared" ca="1" si="265"/>
        <v>0</v>
      </c>
      <c r="AB59" s="6">
        <f t="shared" ca="1" si="266"/>
        <v>0</v>
      </c>
      <c r="AC59">
        <f t="shared" ca="1" si="267"/>
        <v>0</v>
      </c>
      <c r="AD59" s="6">
        <f t="shared" ca="1" si="268"/>
        <v>0</v>
      </c>
      <c r="AE59">
        <f t="shared" ca="1" si="269"/>
        <v>0</v>
      </c>
      <c r="AF59" s="6">
        <f t="shared" ca="1" si="270"/>
        <v>0</v>
      </c>
      <c r="AG59">
        <f t="shared" ca="1" si="271"/>
        <v>0</v>
      </c>
      <c r="AH59" s="6">
        <f t="shared" ca="1" si="272"/>
        <v>0</v>
      </c>
      <c r="AI59">
        <f t="shared" ca="1" si="273"/>
        <v>0</v>
      </c>
      <c r="AJ59" s="6">
        <f t="shared" ca="1" si="274"/>
        <v>0</v>
      </c>
      <c r="AK59">
        <f t="shared" ca="1" si="275"/>
        <v>0</v>
      </c>
      <c r="AL59" s="6">
        <f t="shared" ca="1" si="276"/>
        <v>0</v>
      </c>
      <c r="AM59">
        <f t="shared" ca="1" si="277"/>
        <v>0</v>
      </c>
      <c r="AN59" s="6">
        <f t="shared" ca="1" si="278"/>
        <v>0</v>
      </c>
      <c r="AO59">
        <f t="shared" ca="1" si="279"/>
        <v>0</v>
      </c>
      <c r="AP59" s="6">
        <f t="shared" ca="1" si="280"/>
        <v>0</v>
      </c>
      <c r="AQ59">
        <f t="shared" ca="1" si="281"/>
        <v>0</v>
      </c>
      <c r="AR59" s="6">
        <f t="shared" ca="1" si="282"/>
        <v>0</v>
      </c>
      <c r="AS59" s="97">
        <f t="shared" ca="1" si="283"/>
        <v>0</v>
      </c>
      <c r="AT59" s="6">
        <f t="shared" ca="1" si="284"/>
        <v>0</v>
      </c>
      <c r="AU59">
        <f t="shared" ca="1" si="285"/>
        <v>0</v>
      </c>
      <c r="AV59" s="6">
        <f t="shared" ca="1" si="286"/>
        <v>0</v>
      </c>
      <c r="AW59">
        <f t="shared" ca="1" si="287"/>
        <v>0</v>
      </c>
      <c r="AX59" s="6">
        <f t="shared" ca="1" si="288"/>
        <v>0</v>
      </c>
      <c r="AY59">
        <f t="shared" ca="1" si="289"/>
        <v>0</v>
      </c>
      <c r="AZ59" s="6">
        <f t="shared" ca="1" si="290"/>
        <v>0</v>
      </c>
      <c r="BA59">
        <f t="shared" ca="1" si="291"/>
        <v>0</v>
      </c>
      <c r="BB59" s="6">
        <f t="shared" ca="1" si="292"/>
        <v>0</v>
      </c>
      <c r="BC59">
        <f t="shared" ca="1" si="293"/>
        <v>0</v>
      </c>
      <c r="BD59" s="6">
        <f t="shared" ca="1" si="294"/>
        <v>0</v>
      </c>
    </row>
    <row r="60" spans="1:56" x14ac:dyDescent="0.2">
      <c r="A60" t="str">
        <f>LM2</f>
        <v>Wolfsburg</v>
      </c>
      <c r="D60" t="e">
        <f ca="1">SUM(MB38:ME38)-(34-#REF!)</f>
        <v>#REF!</v>
      </c>
      <c r="E60">
        <f ca="1">SUM(LU39:LY39)-(34-'i1'!S41)</f>
        <v>0</v>
      </c>
      <c r="F60" s="104" t="e">
        <f t="shared" ca="1" si="252"/>
        <v>#REF!</v>
      </c>
      <c r="G60" s="97" t="e">
        <f t="shared" ca="1" si="253"/>
        <v>#REF!</v>
      </c>
      <c r="H60" t="e">
        <f t="shared" ca="1" si="254"/>
        <v>#REF!</v>
      </c>
      <c r="I60" t="e">
        <f t="shared" ca="1" si="255"/>
        <v>#REF!</v>
      </c>
      <c r="J60">
        <f>(Spieltage!DS18)+1</f>
        <v>1</v>
      </c>
      <c r="K60" t="e">
        <f t="shared" ca="1" si="256"/>
        <v>#REF!</v>
      </c>
      <c r="L60" t="e">
        <f t="shared" ca="1" si="257"/>
        <v>#REF!</v>
      </c>
      <c r="M60" t="e">
        <f t="shared" ca="1" si="258"/>
        <v>#REF!</v>
      </c>
      <c r="T60" s="100">
        <v>18</v>
      </c>
      <c r="U60">
        <f t="shared" ca="1" si="259"/>
        <v>0</v>
      </c>
      <c r="V60" s="6">
        <f t="shared" ca="1" si="260"/>
        <v>0</v>
      </c>
      <c r="W60">
        <f t="shared" ca="1" si="261"/>
        <v>0</v>
      </c>
      <c r="X60" s="6">
        <f t="shared" ca="1" si="262"/>
        <v>0</v>
      </c>
      <c r="Y60">
        <f t="shared" ca="1" si="263"/>
        <v>0</v>
      </c>
      <c r="Z60" s="6">
        <f t="shared" ca="1" si="264"/>
        <v>0</v>
      </c>
      <c r="AA60">
        <f t="shared" ca="1" si="265"/>
        <v>0</v>
      </c>
      <c r="AB60" s="6">
        <f t="shared" ca="1" si="266"/>
        <v>0</v>
      </c>
      <c r="AC60">
        <f t="shared" ca="1" si="267"/>
        <v>0</v>
      </c>
      <c r="AD60" s="6">
        <f t="shared" ca="1" si="268"/>
        <v>0</v>
      </c>
      <c r="AE60">
        <f t="shared" ca="1" si="269"/>
        <v>0</v>
      </c>
      <c r="AF60" s="6">
        <f t="shared" ca="1" si="270"/>
        <v>0</v>
      </c>
      <c r="AG60">
        <f t="shared" ca="1" si="271"/>
        <v>0</v>
      </c>
      <c r="AH60" s="6">
        <f t="shared" ca="1" si="272"/>
        <v>0</v>
      </c>
      <c r="AI60">
        <f t="shared" ca="1" si="273"/>
        <v>0</v>
      </c>
      <c r="AJ60" s="6">
        <f t="shared" ca="1" si="274"/>
        <v>0</v>
      </c>
      <c r="AK60">
        <f t="shared" ca="1" si="275"/>
        <v>0</v>
      </c>
      <c r="AL60" s="6">
        <f t="shared" ca="1" si="276"/>
        <v>0</v>
      </c>
      <c r="AM60">
        <f t="shared" ca="1" si="277"/>
        <v>0</v>
      </c>
      <c r="AN60" s="6">
        <f t="shared" ca="1" si="278"/>
        <v>0</v>
      </c>
      <c r="AO60">
        <f t="shared" ca="1" si="279"/>
        <v>0</v>
      </c>
      <c r="AP60" s="6">
        <f t="shared" ca="1" si="280"/>
        <v>0</v>
      </c>
      <c r="AQ60">
        <f t="shared" ca="1" si="281"/>
        <v>0</v>
      </c>
      <c r="AR60" s="6">
        <f t="shared" ca="1" si="282"/>
        <v>0</v>
      </c>
      <c r="AS60" s="97">
        <f t="shared" ca="1" si="283"/>
        <v>0</v>
      </c>
      <c r="AT60" s="6">
        <f t="shared" ca="1" si="284"/>
        <v>0</v>
      </c>
      <c r="AU60">
        <f t="shared" ca="1" si="285"/>
        <v>0</v>
      </c>
      <c r="AV60" s="6">
        <f t="shared" ca="1" si="286"/>
        <v>0</v>
      </c>
      <c r="AW60">
        <f t="shared" ca="1" si="287"/>
        <v>0</v>
      </c>
      <c r="AX60" s="6">
        <f t="shared" ca="1" si="288"/>
        <v>0</v>
      </c>
      <c r="AY60">
        <f t="shared" ca="1" si="289"/>
        <v>0</v>
      </c>
      <c r="AZ60" s="6">
        <f t="shared" ca="1" si="290"/>
        <v>0</v>
      </c>
      <c r="BA60">
        <f t="shared" ca="1" si="291"/>
        <v>0</v>
      </c>
      <c r="BB60" s="6">
        <f t="shared" ca="1" si="292"/>
        <v>0</v>
      </c>
      <c r="BC60">
        <f t="shared" ca="1" si="293"/>
        <v>0</v>
      </c>
      <c r="BD60" s="6">
        <f t="shared" ca="1" si="294"/>
        <v>0</v>
      </c>
    </row>
    <row r="61" spans="1:56" x14ac:dyDescent="0.2">
      <c r="H61" t="e">
        <f ca="1">SUM(H43:H60)</f>
        <v>#REF!</v>
      </c>
      <c r="M61" t="e">
        <f ca="1">SUM(M43:M60)</f>
        <v>#REF!</v>
      </c>
      <c r="T61" s="100">
        <v>19</v>
      </c>
      <c r="U61">
        <f t="shared" ca="1" si="259"/>
        <v>0</v>
      </c>
      <c r="V61" s="6">
        <f t="shared" ca="1" si="260"/>
        <v>0</v>
      </c>
      <c r="W61">
        <f t="shared" ca="1" si="261"/>
        <v>0</v>
      </c>
      <c r="X61" s="6">
        <f t="shared" ca="1" si="262"/>
        <v>0</v>
      </c>
      <c r="Y61">
        <f t="shared" ca="1" si="263"/>
        <v>0</v>
      </c>
      <c r="Z61" s="6">
        <f t="shared" ca="1" si="264"/>
        <v>0</v>
      </c>
      <c r="AA61">
        <f t="shared" ca="1" si="265"/>
        <v>0</v>
      </c>
      <c r="AB61" s="6">
        <f t="shared" ca="1" si="266"/>
        <v>0</v>
      </c>
      <c r="AC61">
        <f t="shared" ca="1" si="267"/>
        <v>0</v>
      </c>
      <c r="AD61" s="6">
        <f t="shared" ca="1" si="268"/>
        <v>0</v>
      </c>
      <c r="AE61">
        <f t="shared" ca="1" si="269"/>
        <v>0</v>
      </c>
      <c r="AF61" s="6">
        <f t="shared" ca="1" si="270"/>
        <v>0</v>
      </c>
      <c r="AG61">
        <f t="shared" ca="1" si="271"/>
        <v>0</v>
      </c>
      <c r="AH61" s="6">
        <f t="shared" ca="1" si="272"/>
        <v>0</v>
      </c>
      <c r="AI61">
        <f t="shared" ca="1" si="273"/>
        <v>0</v>
      </c>
      <c r="AJ61" s="6">
        <f t="shared" ca="1" si="274"/>
        <v>0</v>
      </c>
      <c r="AK61">
        <f t="shared" ca="1" si="275"/>
        <v>0</v>
      </c>
      <c r="AL61" s="6">
        <f t="shared" ca="1" si="276"/>
        <v>0</v>
      </c>
      <c r="AM61">
        <f t="shared" ca="1" si="277"/>
        <v>0</v>
      </c>
      <c r="AN61" s="6">
        <f t="shared" ca="1" si="278"/>
        <v>0</v>
      </c>
      <c r="AO61">
        <f t="shared" ca="1" si="279"/>
        <v>0</v>
      </c>
      <c r="AP61" s="6">
        <f t="shared" ca="1" si="280"/>
        <v>0</v>
      </c>
      <c r="AQ61">
        <f t="shared" ca="1" si="281"/>
        <v>0</v>
      </c>
      <c r="AR61" s="6">
        <f t="shared" ca="1" si="282"/>
        <v>0</v>
      </c>
      <c r="AS61" s="97">
        <f t="shared" ca="1" si="283"/>
        <v>0</v>
      </c>
      <c r="AT61" s="6">
        <f t="shared" ca="1" si="284"/>
        <v>0</v>
      </c>
      <c r="AU61">
        <f t="shared" ca="1" si="285"/>
        <v>0</v>
      </c>
      <c r="AV61" s="6">
        <f t="shared" ca="1" si="286"/>
        <v>0</v>
      </c>
      <c r="AW61">
        <f t="shared" ca="1" si="287"/>
        <v>0</v>
      </c>
      <c r="AX61" s="6">
        <f t="shared" ca="1" si="288"/>
        <v>0</v>
      </c>
      <c r="AY61">
        <f t="shared" ca="1" si="289"/>
        <v>0</v>
      </c>
      <c r="AZ61" s="6">
        <f t="shared" ca="1" si="290"/>
        <v>0</v>
      </c>
      <c r="BA61">
        <f t="shared" ca="1" si="291"/>
        <v>0</v>
      </c>
      <c r="BB61" s="6">
        <f t="shared" ca="1" si="292"/>
        <v>0</v>
      </c>
      <c r="BC61">
        <f t="shared" ca="1" si="293"/>
        <v>0</v>
      </c>
      <c r="BD61" s="6">
        <f t="shared" ca="1" si="294"/>
        <v>0</v>
      </c>
    </row>
    <row r="62" spans="1:56" x14ac:dyDescent="0.2">
      <c r="T62" s="100">
        <v>20</v>
      </c>
      <c r="U62">
        <f t="shared" ca="1" si="259"/>
        <v>0</v>
      </c>
      <c r="V62" s="6">
        <f t="shared" ca="1" si="260"/>
        <v>0</v>
      </c>
      <c r="W62">
        <f t="shared" ca="1" si="261"/>
        <v>0</v>
      </c>
      <c r="X62" s="6">
        <f t="shared" ca="1" si="262"/>
        <v>0</v>
      </c>
      <c r="Y62">
        <f t="shared" ca="1" si="263"/>
        <v>0</v>
      </c>
      <c r="Z62" s="6">
        <f t="shared" ca="1" si="264"/>
        <v>0</v>
      </c>
      <c r="AA62">
        <f t="shared" ca="1" si="265"/>
        <v>0</v>
      </c>
      <c r="AB62" s="6">
        <f t="shared" ca="1" si="266"/>
        <v>0</v>
      </c>
      <c r="AC62">
        <f t="shared" ca="1" si="267"/>
        <v>0</v>
      </c>
      <c r="AD62" s="6">
        <f t="shared" ca="1" si="268"/>
        <v>0</v>
      </c>
      <c r="AE62">
        <f t="shared" ca="1" si="269"/>
        <v>0</v>
      </c>
      <c r="AF62" s="6">
        <f t="shared" ca="1" si="270"/>
        <v>0</v>
      </c>
      <c r="AG62">
        <f t="shared" ca="1" si="271"/>
        <v>0</v>
      </c>
      <c r="AH62" s="6">
        <f t="shared" ca="1" si="272"/>
        <v>0</v>
      </c>
      <c r="AI62">
        <f t="shared" ca="1" si="273"/>
        <v>0</v>
      </c>
      <c r="AJ62" s="6">
        <f t="shared" ca="1" si="274"/>
        <v>0</v>
      </c>
      <c r="AK62">
        <f t="shared" ca="1" si="275"/>
        <v>0</v>
      </c>
      <c r="AL62" s="6">
        <f t="shared" ca="1" si="276"/>
        <v>0</v>
      </c>
      <c r="AM62">
        <f t="shared" ca="1" si="277"/>
        <v>0</v>
      </c>
      <c r="AN62" s="6">
        <f t="shared" ca="1" si="278"/>
        <v>0</v>
      </c>
      <c r="AO62">
        <f t="shared" ca="1" si="279"/>
        <v>0</v>
      </c>
      <c r="AP62" s="6">
        <f t="shared" ca="1" si="280"/>
        <v>0</v>
      </c>
      <c r="AQ62">
        <f t="shared" ca="1" si="281"/>
        <v>0</v>
      </c>
      <c r="AR62" s="6">
        <f t="shared" ca="1" si="282"/>
        <v>0</v>
      </c>
      <c r="AS62" s="97">
        <f t="shared" ca="1" si="283"/>
        <v>0</v>
      </c>
      <c r="AT62" s="6">
        <f t="shared" ca="1" si="284"/>
        <v>0</v>
      </c>
      <c r="AU62">
        <f t="shared" ca="1" si="285"/>
        <v>0</v>
      </c>
      <c r="AV62" s="6">
        <f t="shared" ca="1" si="286"/>
        <v>0</v>
      </c>
      <c r="AW62">
        <f t="shared" ca="1" si="287"/>
        <v>0</v>
      </c>
      <c r="AX62" s="6">
        <f t="shared" ca="1" si="288"/>
        <v>0</v>
      </c>
      <c r="AY62">
        <f t="shared" ca="1" si="289"/>
        <v>0</v>
      </c>
      <c r="AZ62" s="6">
        <f t="shared" ca="1" si="290"/>
        <v>0</v>
      </c>
      <c r="BA62">
        <f t="shared" ca="1" si="291"/>
        <v>0</v>
      </c>
      <c r="BB62" s="6">
        <f t="shared" ca="1" si="292"/>
        <v>0</v>
      </c>
      <c r="BC62">
        <f t="shared" ca="1" si="293"/>
        <v>0</v>
      </c>
      <c r="BD62" s="6">
        <f t="shared" ca="1" si="294"/>
        <v>0</v>
      </c>
    </row>
    <row r="63" spans="1:56" x14ac:dyDescent="0.2">
      <c r="T63" s="100">
        <v>21</v>
      </c>
      <c r="U63">
        <f t="shared" ca="1" si="259"/>
        <v>0</v>
      </c>
      <c r="V63" s="6">
        <f t="shared" ca="1" si="260"/>
        <v>0</v>
      </c>
      <c r="W63">
        <f t="shared" ca="1" si="261"/>
        <v>0</v>
      </c>
      <c r="X63" s="6">
        <f t="shared" ca="1" si="262"/>
        <v>0</v>
      </c>
      <c r="Y63">
        <f t="shared" ca="1" si="263"/>
        <v>0</v>
      </c>
      <c r="Z63" s="6">
        <f t="shared" ca="1" si="264"/>
        <v>0</v>
      </c>
      <c r="AA63">
        <f t="shared" ca="1" si="265"/>
        <v>0</v>
      </c>
      <c r="AB63" s="6">
        <f t="shared" ca="1" si="266"/>
        <v>0</v>
      </c>
      <c r="AC63">
        <f t="shared" ca="1" si="267"/>
        <v>0</v>
      </c>
      <c r="AD63" s="6">
        <f t="shared" ca="1" si="268"/>
        <v>0</v>
      </c>
      <c r="AE63">
        <f t="shared" ca="1" si="269"/>
        <v>0</v>
      </c>
      <c r="AF63" s="6">
        <f t="shared" ca="1" si="270"/>
        <v>0</v>
      </c>
      <c r="AG63">
        <f t="shared" ca="1" si="271"/>
        <v>0</v>
      </c>
      <c r="AH63" s="6">
        <f t="shared" ca="1" si="272"/>
        <v>0</v>
      </c>
      <c r="AI63">
        <f t="shared" ca="1" si="273"/>
        <v>0</v>
      </c>
      <c r="AJ63" s="6">
        <f t="shared" ca="1" si="274"/>
        <v>0</v>
      </c>
      <c r="AK63">
        <f t="shared" ca="1" si="275"/>
        <v>0</v>
      </c>
      <c r="AL63" s="6">
        <f t="shared" ca="1" si="276"/>
        <v>0</v>
      </c>
      <c r="AM63">
        <f t="shared" ca="1" si="277"/>
        <v>0</v>
      </c>
      <c r="AN63" s="6">
        <f t="shared" ca="1" si="278"/>
        <v>0</v>
      </c>
      <c r="AO63">
        <f t="shared" ca="1" si="279"/>
        <v>0</v>
      </c>
      <c r="AP63" s="6">
        <f t="shared" ca="1" si="280"/>
        <v>0</v>
      </c>
      <c r="AQ63">
        <f t="shared" ca="1" si="281"/>
        <v>0</v>
      </c>
      <c r="AR63" s="6">
        <f t="shared" ca="1" si="282"/>
        <v>0</v>
      </c>
      <c r="AS63" s="97">
        <f t="shared" ca="1" si="283"/>
        <v>0</v>
      </c>
      <c r="AT63" s="6">
        <f t="shared" ca="1" si="284"/>
        <v>0</v>
      </c>
      <c r="AU63">
        <f t="shared" ca="1" si="285"/>
        <v>0</v>
      </c>
      <c r="AV63" s="6">
        <f t="shared" ca="1" si="286"/>
        <v>0</v>
      </c>
      <c r="AW63">
        <f t="shared" ca="1" si="287"/>
        <v>0</v>
      </c>
      <c r="AX63" s="6">
        <f t="shared" ca="1" si="288"/>
        <v>0</v>
      </c>
      <c r="AY63">
        <f t="shared" ca="1" si="289"/>
        <v>0</v>
      </c>
      <c r="AZ63" s="6">
        <f t="shared" ca="1" si="290"/>
        <v>0</v>
      </c>
      <c r="BA63">
        <f t="shared" ca="1" si="291"/>
        <v>0</v>
      </c>
      <c r="BB63" s="6">
        <f t="shared" ca="1" si="292"/>
        <v>0</v>
      </c>
      <c r="BC63">
        <f t="shared" ca="1" si="293"/>
        <v>0</v>
      </c>
      <c r="BD63" s="6">
        <f t="shared" ca="1" si="294"/>
        <v>0</v>
      </c>
    </row>
    <row r="64" spans="1:56" x14ac:dyDescent="0.2">
      <c r="T64" s="100">
        <v>22</v>
      </c>
      <c r="U64">
        <f t="shared" ca="1" si="259"/>
        <v>0</v>
      </c>
      <c r="V64" s="6">
        <f t="shared" ca="1" si="260"/>
        <v>0</v>
      </c>
      <c r="W64">
        <f t="shared" ca="1" si="261"/>
        <v>0</v>
      </c>
      <c r="X64" s="6">
        <f t="shared" ca="1" si="262"/>
        <v>0</v>
      </c>
      <c r="Y64">
        <f t="shared" ca="1" si="263"/>
        <v>0</v>
      </c>
      <c r="Z64" s="6">
        <f t="shared" ca="1" si="264"/>
        <v>0</v>
      </c>
      <c r="AA64">
        <f t="shared" ca="1" si="265"/>
        <v>0</v>
      </c>
      <c r="AB64" s="6">
        <f t="shared" ca="1" si="266"/>
        <v>0</v>
      </c>
      <c r="AC64">
        <f t="shared" ca="1" si="267"/>
        <v>0</v>
      </c>
      <c r="AD64" s="6">
        <f t="shared" ca="1" si="268"/>
        <v>0</v>
      </c>
      <c r="AE64">
        <f t="shared" ca="1" si="269"/>
        <v>0</v>
      </c>
      <c r="AF64" s="6">
        <f t="shared" ca="1" si="270"/>
        <v>0</v>
      </c>
      <c r="AG64">
        <f t="shared" ca="1" si="271"/>
        <v>0</v>
      </c>
      <c r="AH64" s="6">
        <f t="shared" ca="1" si="272"/>
        <v>0</v>
      </c>
      <c r="AI64">
        <f t="shared" ca="1" si="273"/>
        <v>0</v>
      </c>
      <c r="AJ64" s="6">
        <f t="shared" ca="1" si="274"/>
        <v>0</v>
      </c>
      <c r="AK64">
        <f t="shared" ca="1" si="275"/>
        <v>0</v>
      </c>
      <c r="AL64" s="6">
        <f t="shared" ca="1" si="276"/>
        <v>0</v>
      </c>
      <c r="AM64">
        <f t="shared" ca="1" si="277"/>
        <v>0</v>
      </c>
      <c r="AN64" s="6">
        <f t="shared" ca="1" si="278"/>
        <v>0</v>
      </c>
      <c r="AO64">
        <f t="shared" ca="1" si="279"/>
        <v>0</v>
      </c>
      <c r="AP64" s="6">
        <f t="shared" ca="1" si="280"/>
        <v>0</v>
      </c>
      <c r="AQ64">
        <f t="shared" ca="1" si="281"/>
        <v>0</v>
      </c>
      <c r="AR64" s="6">
        <f t="shared" ca="1" si="282"/>
        <v>0</v>
      </c>
      <c r="AS64" s="97">
        <f t="shared" ca="1" si="283"/>
        <v>0</v>
      </c>
      <c r="AT64" s="6">
        <f t="shared" ca="1" si="284"/>
        <v>0</v>
      </c>
      <c r="AU64">
        <f t="shared" ca="1" si="285"/>
        <v>0</v>
      </c>
      <c r="AV64" s="6">
        <f t="shared" ca="1" si="286"/>
        <v>0</v>
      </c>
      <c r="AW64">
        <f t="shared" ca="1" si="287"/>
        <v>0</v>
      </c>
      <c r="AX64" s="6">
        <f t="shared" ca="1" si="288"/>
        <v>0</v>
      </c>
      <c r="AY64">
        <f t="shared" ca="1" si="289"/>
        <v>0</v>
      </c>
      <c r="AZ64" s="6">
        <f t="shared" ca="1" si="290"/>
        <v>0</v>
      </c>
      <c r="BA64">
        <f t="shared" ca="1" si="291"/>
        <v>0</v>
      </c>
      <c r="BB64" s="6">
        <f t="shared" ca="1" si="292"/>
        <v>0</v>
      </c>
      <c r="BC64">
        <f t="shared" ca="1" si="293"/>
        <v>0</v>
      </c>
      <c r="BD64" s="6">
        <f t="shared" ca="1" si="294"/>
        <v>0</v>
      </c>
    </row>
    <row r="65" spans="14:341" x14ac:dyDescent="0.2">
      <c r="T65" s="100">
        <v>23</v>
      </c>
      <c r="U65">
        <f t="shared" ca="1" si="259"/>
        <v>0</v>
      </c>
      <c r="V65" s="6">
        <f t="shared" ca="1" si="260"/>
        <v>0</v>
      </c>
      <c r="W65">
        <f t="shared" ca="1" si="261"/>
        <v>0</v>
      </c>
      <c r="X65" s="6">
        <f t="shared" ca="1" si="262"/>
        <v>0</v>
      </c>
      <c r="Y65">
        <f t="shared" ca="1" si="263"/>
        <v>0</v>
      </c>
      <c r="Z65" s="6">
        <f t="shared" ca="1" si="264"/>
        <v>0</v>
      </c>
      <c r="AA65">
        <f t="shared" ca="1" si="265"/>
        <v>0</v>
      </c>
      <c r="AB65" s="6">
        <f t="shared" ca="1" si="266"/>
        <v>0</v>
      </c>
      <c r="AC65">
        <f t="shared" ca="1" si="267"/>
        <v>0</v>
      </c>
      <c r="AD65" s="6">
        <f t="shared" ca="1" si="268"/>
        <v>0</v>
      </c>
      <c r="AE65">
        <f t="shared" ca="1" si="269"/>
        <v>0</v>
      </c>
      <c r="AF65" s="6">
        <f t="shared" ca="1" si="270"/>
        <v>0</v>
      </c>
      <c r="AG65">
        <f t="shared" ca="1" si="271"/>
        <v>0</v>
      </c>
      <c r="AH65" s="6">
        <f t="shared" ca="1" si="272"/>
        <v>0</v>
      </c>
      <c r="AI65">
        <f t="shared" ca="1" si="273"/>
        <v>0</v>
      </c>
      <c r="AJ65" s="6">
        <f t="shared" ca="1" si="274"/>
        <v>0</v>
      </c>
      <c r="AK65">
        <f t="shared" ca="1" si="275"/>
        <v>0</v>
      </c>
      <c r="AL65" s="6">
        <f t="shared" ca="1" si="276"/>
        <v>0</v>
      </c>
      <c r="AM65">
        <f t="shared" ca="1" si="277"/>
        <v>0</v>
      </c>
      <c r="AN65" s="6">
        <f t="shared" ca="1" si="278"/>
        <v>0</v>
      </c>
      <c r="AO65">
        <f t="shared" ca="1" si="279"/>
        <v>0</v>
      </c>
      <c r="AP65" s="6">
        <f t="shared" ca="1" si="280"/>
        <v>0</v>
      </c>
      <c r="AQ65">
        <f t="shared" ca="1" si="281"/>
        <v>0</v>
      </c>
      <c r="AR65" s="6">
        <f t="shared" ca="1" si="282"/>
        <v>0</v>
      </c>
      <c r="AS65" s="97">
        <f t="shared" ca="1" si="283"/>
        <v>0</v>
      </c>
      <c r="AT65" s="6">
        <f t="shared" ca="1" si="284"/>
        <v>0</v>
      </c>
      <c r="AU65">
        <f t="shared" ca="1" si="285"/>
        <v>0</v>
      </c>
      <c r="AV65" s="6">
        <f t="shared" ca="1" si="286"/>
        <v>0</v>
      </c>
      <c r="AW65">
        <f t="shared" ca="1" si="287"/>
        <v>0</v>
      </c>
      <c r="AX65" s="6">
        <f t="shared" ca="1" si="288"/>
        <v>0</v>
      </c>
      <c r="AY65">
        <f t="shared" ca="1" si="289"/>
        <v>0</v>
      </c>
      <c r="AZ65" s="6">
        <f t="shared" ca="1" si="290"/>
        <v>0</v>
      </c>
      <c r="BA65">
        <f t="shared" ca="1" si="291"/>
        <v>0</v>
      </c>
      <c r="BB65" s="6">
        <f t="shared" ca="1" si="292"/>
        <v>0</v>
      </c>
      <c r="BC65">
        <f t="shared" ca="1" si="293"/>
        <v>0</v>
      </c>
      <c r="BD65" s="6">
        <f t="shared" ca="1" si="294"/>
        <v>0</v>
      </c>
    </row>
    <row r="66" spans="14:341" x14ac:dyDescent="0.2">
      <c r="T66" s="100">
        <v>24</v>
      </c>
      <c r="U66">
        <f t="shared" ca="1" si="259"/>
        <v>0</v>
      </c>
      <c r="V66" s="6">
        <f t="shared" ca="1" si="260"/>
        <v>0</v>
      </c>
      <c r="W66">
        <f t="shared" ca="1" si="261"/>
        <v>0</v>
      </c>
      <c r="X66" s="6">
        <f t="shared" ca="1" si="262"/>
        <v>0</v>
      </c>
      <c r="Y66">
        <f t="shared" ca="1" si="263"/>
        <v>0</v>
      </c>
      <c r="Z66" s="6">
        <f t="shared" ca="1" si="264"/>
        <v>0</v>
      </c>
      <c r="AA66">
        <f t="shared" ca="1" si="265"/>
        <v>0</v>
      </c>
      <c r="AB66" s="6">
        <f t="shared" ca="1" si="266"/>
        <v>0</v>
      </c>
      <c r="AC66">
        <f t="shared" ca="1" si="267"/>
        <v>0</v>
      </c>
      <c r="AD66" s="6">
        <f t="shared" ca="1" si="268"/>
        <v>0</v>
      </c>
      <c r="AE66">
        <f t="shared" ca="1" si="269"/>
        <v>0</v>
      </c>
      <c r="AF66" s="6">
        <f t="shared" ca="1" si="270"/>
        <v>0</v>
      </c>
      <c r="AG66">
        <f t="shared" ca="1" si="271"/>
        <v>0</v>
      </c>
      <c r="AH66" s="6">
        <f t="shared" ca="1" si="272"/>
        <v>0</v>
      </c>
      <c r="AI66">
        <f t="shared" ca="1" si="273"/>
        <v>0</v>
      </c>
      <c r="AJ66" s="6">
        <f t="shared" ca="1" si="274"/>
        <v>0</v>
      </c>
      <c r="AK66">
        <f t="shared" ca="1" si="275"/>
        <v>0</v>
      </c>
      <c r="AL66" s="6">
        <f t="shared" ca="1" si="276"/>
        <v>0</v>
      </c>
      <c r="AM66">
        <f t="shared" ca="1" si="277"/>
        <v>0</v>
      </c>
      <c r="AN66" s="6">
        <f t="shared" ca="1" si="278"/>
        <v>0</v>
      </c>
      <c r="AO66">
        <f t="shared" ca="1" si="279"/>
        <v>0</v>
      </c>
      <c r="AP66" s="6">
        <f t="shared" ca="1" si="280"/>
        <v>0</v>
      </c>
      <c r="AQ66">
        <f t="shared" ca="1" si="281"/>
        <v>0</v>
      </c>
      <c r="AR66" s="6">
        <f t="shared" ca="1" si="282"/>
        <v>0</v>
      </c>
      <c r="AS66" s="97">
        <f t="shared" ca="1" si="283"/>
        <v>0</v>
      </c>
      <c r="AT66" s="6">
        <f t="shared" ca="1" si="284"/>
        <v>0</v>
      </c>
      <c r="AU66">
        <f t="shared" ca="1" si="285"/>
        <v>0</v>
      </c>
      <c r="AV66" s="6">
        <f t="shared" ca="1" si="286"/>
        <v>0</v>
      </c>
      <c r="AW66">
        <f t="shared" ca="1" si="287"/>
        <v>0</v>
      </c>
      <c r="AX66" s="6">
        <f t="shared" ca="1" si="288"/>
        <v>0</v>
      </c>
      <c r="AY66">
        <f t="shared" ca="1" si="289"/>
        <v>0</v>
      </c>
      <c r="AZ66" s="6">
        <f t="shared" ca="1" si="290"/>
        <v>0</v>
      </c>
      <c r="BA66">
        <f t="shared" ca="1" si="291"/>
        <v>0</v>
      </c>
      <c r="BB66" s="6">
        <f t="shared" ca="1" si="292"/>
        <v>0</v>
      </c>
      <c r="BC66">
        <f t="shared" ca="1" si="293"/>
        <v>0</v>
      </c>
      <c r="BD66" s="6">
        <f t="shared" ca="1" si="294"/>
        <v>0</v>
      </c>
    </row>
    <row r="67" spans="14:341" x14ac:dyDescent="0.2">
      <c r="T67" s="100">
        <v>25</v>
      </c>
      <c r="U67">
        <f t="shared" ca="1" si="259"/>
        <v>0</v>
      </c>
      <c r="V67" s="6">
        <f t="shared" ca="1" si="260"/>
        <v>0</v>
      </c>
      <c r="W67">
        <f t="shared" ca="1" si="261"/>
        <v>0</v>
      </c>
      <c r="X67" s="6">
        <f t="shared" ca="1" si="262"/>
        <v>0</v>
      </c>
      <c r="Y67">
        <f t="shared" ca="1" si="263"/>
        <v>0</v>
      </c>
      <c r="Z67" s="6">
        <f t="shared" ca="1" si="264"/>
        <v>0</v>
      </c>
      <c r="AA67">
        <f t="shared" ca="1" si="265"/>
        <v>0</v>
      </c>
      <c r="AB67" s="6">
        <f t="shared" ca="1" si="266"/>
        <v>0</v>
      </c>
      <c r="AC67">
        <f t="shared" ca="1" si="267"/>
        <v>0</v>
      </c>
      <c r="AD67" s="6">
        <f t="shared" ca="1" si="268"/>
        <v>0</v>
      </c>
      <c r="AE67">
        <f t="shared" ca="1" si="269"/>
        <v>0</v>
      </c>
      <c r="AF67" s="6">
        <f t="shared" ca="1" si="270"/>
        <v>0</v>
      </c>
      <c r="AG67">
        <f t="shared" ca="1" si="271"/>
        <v>0</v>
      </c>
      <c r="AH67" s="6">
        <f t="shared" ca="1" si="272"/>
        <v>0</v>
      </c>
      <c r="AI67">
        <f t="shared" ca="1" si="273"/>
        <v>0</v>
      </c>
      <c r="AJ67" s="6">
        <f t="shared" ca="1" si="274"/>
        <v>0</v>
      </c>
      <c r="AK67">
        <f t="shared" ca="1" si="275"/>
        <v>0</v>
      </c>
      <c r="AL67" s="6">
        <f t="shared" ca="1" si="276"/>
        <v>0</v>
      </c>
      <c r="AM67">
        <f t="shared" ca="1" si="277"/>
        <v>0</v>
      </c>
      <c r="AN67" s="6">
        <f t="shared" ca="1" si="278"/>
        <v>0</v>
      </c>
      <c r="AO67">
        <f t="shared" ca="1" si="279"/>
        <v>0</v>
      </c>
      <c r="AP67" s="6">
        <f t="shared" ca="1" si="280"/>
        <v>0</v>
      </c>
      <c r="AQ67">
        <f t="shared" ca="1" si="281"/>
        <v>0</v>
      </c>
      <c r="AR67" s="6">
        <f t="shared" ca="1" si="282"/>
        <v>0</v>
      </c>
      <c r="AS67" s="97">
        <f t="shared" ca="1" si="283"/>
        <v>0</v>
      </c>
      <c r="AT67" s="6">
        <f t="shared" ca="1" si="284"/>
        <v>0</v>
      </c>
      <c r="AU67">
        <f t="shared" ca="1" si="285"/>
        <v>0</v>
      </c>
      <c r="AV67" s="6">
        <f t="shared" ca="1" si="286"/>
        <v>0</v>
      </c>
      <c r="AW67">
        <f t="shared" ca="1" si="287"/>
        <v>0</v>
      </c>
      <c r="AX67" s="6">
        <f t="shared" ca="1" si="288"/>
        <v>0</v>
      </c>
      <c r="AY67">
        <f t="shared" ca="1" si="289"/>
        <v>0</v>
      </c>
      <c r="AZ67" s="6">
        <f t="shared" ca="1" si="290"/>
        <v>0</v>
      </c>
      <c r="BA67">
        <f t="shared" ca="1" si="291"/>
        <v>0</v>
      </c>
      <c r="BB67" s="6">
        <f t="shared" ca="1" si="292"/>
        <v>0</v>
      </c>
      <c r="BC67">
        <f t="shared" ca="1" si="293"/>
        <v>0</v>
      </c>
      <c r="BD67" s="6">
        <f t="shared" ca="1" si="294"/>
        <v>0</v>
      </c>
    </row>
    <row r="68" spans="14:341" x14ac:dyDescent="0.2">
      <c r="T68" s="100">
        <v>26</v>
      </c>
      <c r="U68">
        <f t="shared" ca="1" si="259"/>
        <v>0</v>
      </c>
      <c r="V68" s="6">
        <f t="shared" ca="1" si="260"/>
        <v>0</v>
      </c>
      <c r="W68">
        <f t="shared" ca="1" si="261"/>
        <v>0</v>
      </c>
      <c r="X68" s="6">
        <f t="shared" ca="1" si="262"/>
        <v>0</v>
      </c>
      <c r="Y68">
        <f t="shared" ca="1" si="263"/>
        <v>0</v>
      </c>
      <c r="Z68" s="6">
        <f t="shared" ca="1" si="264"/>
        <v>0</v>
      </c>
      <c r="AA68">
        <f t="shared" ca="1" si="265"/>
        <v>0</v>
      </c>
      <c r="AB68" s="6">
        <f t="shared" ca="1" si="266"/>
        <v>0</v>
      </c>
      <c r="AC68">
        <f t="shared" ca="1" si="267"/>
        <v>0</v>
      </c>
      <c r="AD68" s="6">
        <f t="shared" ca="1" si="268"/>
        <v>0</v>
      </c>
      <c r="AE68">
        <f t="shared" ca="1" si="269"/>
        <v>0</v>
      </c>
      <c r="AF68" s="6">
        <f t="shared" ca="1" si="270"/>
        <v>0</v>
      </c>
      <c r="AG68">
        <f t="shared" ca="1" si="271"/>
        <v>0</v>
      </c>
      <c r="AH68" s="6">
        <f t="shared" ca="1" si="272"/>
        <v>0</v>
      </c>
      <c r="AI68">
        <f t="shared" ca="1" si="273"/>
        <v>0</v>
      </c>
      <c r="AJ68" s="6">
        <f t="shared" ca="1" si="274"/>
        <v>0</v>
      </c>
      <c r="AK68">
        <f t="shared" ca="1" si="275"/>
        <v>0</v>
      </c>
      <c r="AL68" s="6">
        <f t="shared" ca="1" si="276"/>
        <v>0</v>
      </c>
      <c r="AM68">
        <f t="shared" ca="1" si="277"/>
        <v>0</v>
      </c>
      <c r="AN68" s="6">
        <f t="shared" ca="1" si="278"/>
        <v>0</v>
      </c>
      <c r="AO68">
        <f t="shared" ca="1" si="279"/>
        <v>0</v>
      </c>
      <c r="AP68" s="6">
        <f t="shared" ca="1" si="280"/>
        <v>0</v>
      </c>
      <c r="AQ68">
        <f t="shared" ca="1" si="281"/>
        <v>0</v>
      </c>
      <c r="AR68" s="6">
        <f t="shared" ca="1" si="282"/>
        <v>0</v>
      </c>
      <c r="AS68" s="97">
        <f t="shared" ca="1" si="283"/>
        <v>0</v>
      </c>
      <c r="AT68" s="6">
        <f t="shared" ca="1" si="284"/>
        <v>0</v>
      </c>
      <c r="AU68">
        <f t="shared" ca="1" si="285"/>
        <v>0</v>
      </c>
      <c r="AV68" s="6">
        <f t="shared" ca="1" si="286"/>
        <v>0</v>
      </c>
      <c r="AW68">
        <f t="shared" ca="1" si="287"/>
        <v>0</v>
      </c>
      <c r="AX68" s="6">
        <f t="shared" ca="1" si="288"/>
        <v>0</v>
      </c>
      <c r="AY68">
        <f t="shared" ca="1" si="289"/>
        <v>0</v>
      </c>
      <c r="AZ68" s="6">
        <f t="shared" ca="1" si="290"/>
        <v>0</v>
      </c>
      <c r="BA68">
        <f t="shared" ca="1" si="291"/>
        <v>0</v>
      </c>
      <c r="BB68" s="6">
        <f t="shared" ca="1" si="292"/>
        <v>0</v>
      </c>
      <c r="BC68">
        <f t="shared" ca="1" si="293"/>
        <v>0</v>
      </c>
      <c r="BD68" s="6">
        <f t="shared" ca="1" si="294"/>
        <v>0</v>
      </c>
    </row>
    <row r="69" spans="14:341" x14ac:dyDescent="0.2">
      <c r="T69" s="100">
        <v>27</v>
      </c>
      <c r="U69">
        <f t="shared" ca="1" si="259"/>
        <v>0</v>
      </c>
      <c r="V69" s="6">
        <f t="shared" ca="1" si="260"/>
        <v>0</v>
      </c>
      <c r="W69">
        <f t="shared" ca="1" si="261"/>
        <v>0</v>
      </c>
      <c r="X69" s="6">
        <f t="shared" ca="1" si="262"/>
        <v>0</v>
      </c>
      <c r="Y69">
        <f t="shared" ca="1" si="263"/>
        <v>0</v>
      </c>
      <c r="Z69" s="6">
        <f t="shared" ca="1" si="264"/>
        <v>0</v>
      </c>
      <c r="AA69">
        <f t="shared" ca="1" si="265"/>
        <v>0</v>
      </c>
      <c r="AB69" s="6">
        <f t="shared" ca="1" si="266"/>
        <v>0</v>
      </c>
      <c r="AC69">
        <f t="shared" ca="1" si="267"/>
        <v>0</v>
      </c>
      <c r="AD69" s="6">
        <f t="shared" ca="1" si="268"/>
        <v>0</v>
      </c>
      <c r="AE69">
        <f t="shared" ca="1" si="269"/>
        <v>0</v>
      </c>
      <c r="AF69" s="6">
        <f t="shared" ca="1" si="270"/>
        <v>0</v>
      </c>
      <c r="AG69">
        <f t="shared" ca="1" si="271"/>
        <v>0</v>
      </c>
      <c r="AH69" s="6">
        <f t="shared" ca="1" si="272"/>
        <v>0</v>
      </c>
      <c r="AI69">
        <f t="shared" ca="1" si="273"/>
        <v>0</v>
      </c>
      <c r="AJ69" s="6">
        <f t="shared" ca="1" si="274"/>
        <v>0</v>
      </c>
      <c r="AK69">
        <f t="shared" ca="1" si="275"/>
        <v>0</v>
      </c>
      <c r="AL69" s="6">
        <f t="shared" ca="1" si="276"/>
        <v>0</v>
      </c>
      <c r="AM69">
        <f t="shared" ca="1" si="277"/>
        <v>0</v>
      </c>
      <c r="AN69" s="6">
        <f t="shared" ca="1" si="278"/>
        <v>0</v>
      </c>
      <c r="AO69">
        <f t="shared" ca="1" si="279"/>
        <v>0</v>
      </c>
      <c r="AP69" s="6">
        <f t="shared" ca="1" si="280"/>
        <v>0</v>
      </c>
      <c r="AQ69">
        <f t="shared" ca="1" si="281"/>
        <v>0</v>
      </c>
      <c r="AR69" s="6">
        <f t="shared" ca="1" si="282"/>
        <v>0</v>
      </c>
      <c r="AS69" s="97">
        <f t="shared" ca="1" si="283"/>
        <v>0</v>
      </c>
      <c r="AT69" s="6">
        <f t="shared" ca="1" si="284"/>
        <v>0</v>
      </c>
      <c r="AU69">
        <f t="shared" ca="1" si="285"/>
        <v>0</v>
      </c>
      <c r="AV69" s="6">
        <f t="shared" ca="1" si="286"/>
        <v>0</v>
      </c>
      <c r="AW69">
        <f t="shared" ca="1" si="287"/>
        <v>0</v>
      </c>
      <c r="AX69" s="6">
        <f t="shared" ca="1" si="288"/>
        <v>0</v>
      </c>
      <c r="AY69">
        <f t="shared" ca="1" si="289"/>
        <v>0</v>
      </c>
      <c r="AZ69" s="6">
        <f t="shared" ca="1" si="290"/>
        <v>0</v>
      </c>
      <c r="BA69">
        <f t="shared" ca="1" si="291"/>
        <v>0</v>
      </c>
      <c r="BB69" s="6">
        <f t="shared" ca="1" si="292"/>
        <v>0</v>
      </c>
      <c r="BC69">
        <f t="shared" ca="1" si="293"/>
        <v>0</v>
      </c>
      <c r="BD69" s="6">
        <f t="shared" ca="1" si="294"/>
        <v>0</v>
      </c>
    </row>
    <row r="70" spans="14:341" x14ac:dyDescent="0.2">
      <c r="T70" s="100">
        <v>28</v>
      </c>
      <c r="U70">
        <f t="shared" ca="1" si="259"/>
        <v>0</v>
      </c>
      <c r="V70" s="6">
        <f t="shared" ca="1" si="260"/>
        <v>0</v>
      </c>
      <c r="W70">
        <f t="shared" ca="1" si="261"/>
        <v>0</v>
      </c>
      <c r="X70" s="6">
        <f t="shared" ca="1" si="262"/>
        <v>0</v>
      </c>
      <c r="Y70">
        <f t="shared" ca="1" si="263"/>
        <v>0</v>
      </c>
      <c r="Z70" s="6">
        <f t="shared" ca="1" si="264"/>
        <v>0</v>
      </c>
      <c r="AA70">
        <f t="shared" ca="1" si="265"/>
        <v>0</v>
      </c>
      <c r="AB70" s="6">
        <f t="shared" ca="1" si="266"/>
        <v>0</v>
      </c>
      <c r="AC70">
        <f t="shared" ca="1" si="267"/>
        <v>0</v>
      </c>
      <c r="AD70" s="6">
        <f t="shared" ca="1" si="268"/>
        <v>0</v>
      </c>
      <c r="AE70">
        <f t="shared" ca="1" si="269"/>
        <v>0</v>
      </c>
      <c r="AF70" s="6">
        <f t="shared" ca="1" si="270"/>
        <v>0</v>
      </c>
      <c r="AG70">
        <f t="shared" ca="1" si="271"/>
        <v>0</v>
      </c>
      <c r="AH70" s="6">
        <f t="shared" ca="1" si="272"/>
        <v>0</v>
      </c>
      <c r="AI70">
        <f t="shared" ca="1" si="273"/>
        <v>0</v>
      </c>
      <c r="AJ70" s="6">
        <f t="shared" ca="1" si="274"/>
        <v>0</v>
      </c>
      <c r="AK70">
        <f t="shared" ca="1" si="275"/>
        <v>0</v>
      </c>
      <c r="AL70" s="6">
        <f t="shared" ca="1" si="276"/>
        <v>0</v>
      </c>
      <c r="AM70">
        <f t="shared" ca="1" si="277"/>
        <v>0</v>
      </c>
      <c r="AN70" s="6">
        <f t="shared" ca="1" si="278"/>
        <v>0</v>
      </c>
      <c r="AO70">
        <f t="shared" ca="1" si="279"/>
        <v>0</v>
      </c>
      <c r="AP70" s="6">
        <f t="shared" ca="1" si="280"/>
        <v>0</v>
      </c>
      <c r="AQ70">
        <f t="shared" ca="1" si="281"/>
        <v>0</v>
      </c>
      <c r="AR70" s="6">
        <f t="shared" ca="1" si="282"/>
        <v>0</v>
      </c>
      <c r="AS70" s="97">
        <f t="shared" ca="1" si="283"/>
        <v>0</v>
      </c>
      <c r="AT70" s="6">
        <f t="shared" ca="1" si="284"/>
        <v>0</v>
      </c>
      <c r="AU70">
        <f t="shared" ca="1" si="285"/>
        <v>0</v>
      </c>
      <c r="AV70" s="6">
        <f t="shared" ca="1" si="286"/>
        <v>0</v>
      </c>
      <c r="AW70">
        <f t="shared" ca="1" si="287"/>
        <v>0</v>
      </c>
      <c r="AX70" s="6">
        <f t="shared" ca="1" si="288"/>
        <v>0</v>
      </c>
      <c r="AY70">
        <f t="shared" ca="1" si="289"/>
        <v>0</v>
      </c>
      <c r="AZ70" s="6">
        <f t="shared" ca="1" si="290"/>
        <v>0</v>
      </c>
      <c r="BA70">
        <f t="shared" ca="1" si="291"/>
        <v>0</v>
      </c>
      <c r="BB70" s="6">
        <f t="shared" ca="1" si="292"/>
        <v>0</v>
      </c>
      <c r="BC70">
        <f t="shared" ca="1" si="293"/>
        <v>0</v>
      </c>
      <c r="BD70" s="6">
        <f t="shared" ca="1" si="294"/>
        <v>0</v>
      </c>
    </row>
    <row r="71" spans="14:341" x14ac:dyDescent="0.2">
      <c r="T71" s="100">
        <v>29</v>
      </c>
      <c r="U71">
        <f t="shared" ca="1" si="259"/>
        <v>0</v>
      </c>
      <c r="V71" s="6">
        <f t="shared" ca="1" si="260"/>
        <v>0</v>
      </c>
      <c r="W71">
        <f t="shared" ca="1" si="261"/>
        <v>0</v>
      </c>
      <c r="X71" s="6">
        <f t="shared" ca="1" si="262"/>
        <v>0</v>
      </c>
      <c r="Y71">
        <f t="shared" ca="1" si="263"/>
        <v>0</v>
      </c>
      <c r="Z71" s="6">
        <f t="shared" ca="1" si="264"/>
        <v>0</v>
      </c>
      <c r="AA71">
        <f t="shared" ca="1" si="265"/>
        <v>0</v>
      </c>
      <c r="AB71" s="6">
        <f t="shared" ca="1" si="266"/>
        <v>0</v>
      </c>
      <c r="AC71">
        <f t="shared" ca="1" si="267"/>
        <v>0</v>
      </c>
      <c r="AD71" s="6">
        <f t="shared" ca="1" si="268"/>
        <v>0</v>
      </c>
      <c r="AE71">
        <f t="shared" ca="1" si="269"/>
        <v>0</v>
      </c>
      <c r="AF71" s="6">
        <f t="shared" ca="1" si="270"/>
        <v>0</v>
      </c>
      <c r="AG71">
        <f t="shared" ca="1" si="271"/>
        <v>0</v>
      </c>
      <c r="AH71" s="6">
        <f t="shared" ca="1" si="272"/>
        <v>0</v>
      </c>
      <c r="AI71">
        <f t="shared" ca="1" si="273"/>
        <v>0</v>
      </c>
      <c r="AJ71" s="6">
        <f t="shared" ca="1" si="274"/>
        <v>0</v>
      </c>
      <c r="AK71">
        <f t="shared" ca="1" si="275"/>
        <v>0</v>
      </c>
      <c r="AL71" s="6">
        <f t="shared" ca="1" si="276"/>
        <v>0</v>
      </c>
      <c r="AM71">
        <f t="shared" ca="1" si="277"/>
        <v>0</v>
      </c>
      <c r="AN71" s="6">
        <f t="shared" ca="1" si="278"/>
        <v>0</v>
      </c>
      <c r="AO71">
        <f t="shared" ca="1" si="279"/>
        <v>0</v>
      </c>
      <c r="AP71" s="6">
        <f t="shared" ca="1" si="280"/>
        <v>0</v>
      </c>
      <c r="AQ71">
        <f t="shared" ca="1" si="281"/>
        <v>0</v>
      </c>
      <c r="AR71" s="6">
        <f t="shared" ca="1" si="282"/>
        <v>0</v>
      </c>
      <c r="AS71" s="97">
        <f t="shared" ca="1" si="283"/>
        <v>0</v>
      </c>
      <c r="AT71" s="6">
        <f t="shared" ca="1" si="284"/>
        <v>0</v>
      </c>
      <c r="AU71">
        <f t="shared" ca="1" si="285"/>
        <v>0</v>
      </c>
      <c r="AV71" s="6">
        <f t="shared" ca="1" si="286"/>
        <v>0</v>
      </c>
      <c r="AW71">
        <f t="shared" ca="1" si="287"/>
        <v>0</v>
      </c>
      <c r="AX71" s="6">
        <f t="shared" ca="1" si="288"/>
        <v>0</v>
      </c>
      <c r="AY71">
        <f t="shared" ca="1" si="289"/>
        <v>0</v>
      </c>
      <c r="AZ71" s="6">
        <f t="shared" ca="1" si="290"/>
        <v>0</v>
      </c>
      <c r="BA71">
        <f t="shared" ca="1" si="291"/>
        <v>0</v>
      </c>
      <c r="BB71" s="6">
        <f t="shared" ca="1" si="292"/>
        <v>0</v>
      </c>
      <c r="BC71">
        <f t="shared" ca="1" si="293"/>
        <v>0</v>
      </c>
      <c r="BD71" s="6">
        <f t="shared" ca="1" si="294"/>
        <v>0</v>
      </c>
    </row>
    <row r="72" spans="14:341" x14ac:dyDescent="0.2">
      <c r="T72" s="100">
        <v>30</v>
      </c>
      <c r="U72">
        <f t="shared" ca="1" si="259"/>
        <v>0</v>
      </c>
      <c r="V72" s="6">
        <f t="shared" ca="1" si="260"/>
        <v>0</v>
      </c>
      <c r="W72">
        <f t="shared" ca="1" si="261"/>
        <v>0</v>
      </c>
      <c r="X72" s="6">
        <f t="shared" ca="1" si="262"/>
        <v>0</v>
      </c>
      <c r="Y72">
        <f t="shared" ca="1" si="263"/>
        <v>0</v>
      </c>
      <c r="Z72" s="6">
        <f t="shared" ca="1" si="264"/>
        <v>0</v>
      </c>
      <c r="AA72">
        <f t="shared" ca="1" si="265"/>
        <v>0</v>
      </c>
      <c r="AB72" s="6">
        <f t="shared" ca="1" si="266"/>
        <v>0</v>
      </c>
      <c r="AC72">
        <f t="shared" ca="1" si="267"/>
        <v>0</v>
      </c>
      <c r="AD72" s="6">
        <f t="shared" ca="1" si="268"/>
        <v>0</v>
      </c>
      <c r="AE72">
        <f t="shared" ca="1" si="269"/>
        <v>0</v>
      </c>
      <c r="AF72" s="6">
        <f t="shared" ca="1" si="270"/>
        <v>0</v>
      </c>
      <c r="AG72">
        <f t="shared" ca="1" si="271"/>
        <v>0</v>
      </c>
      <c r="AH72" s="6">
        <f t="shared" ca="1" si="272"/>
        <v>0</v>
      </c>
      <c r="AI72">
        <f t="shared" ca="1" si="273"/>
        <v>0</v>
      </c>
      <c r="AJ72" s="6">
        <f t="shared" ca="1" si="274"/>
        <v>0</v>
      </c>
      <c r="AK72">
        <f t="shared" ca="1" si="275"/>
        <v>0</v>
      </c>
      <c r="AL72" s="6">
        <f t="shared" ca="1" si="276"/>
        <v>0</v>
      </c>
      <c r="AM72">
        <f t="shared" ca="1" si="277"/>
        <v>0</v>
      </c>
      <c r="AN72" s="6">
        <f t="shared" ca="1" si="278"/>
        <v>0</v>
      </c>
      <c r="AO72">
        <f t="shared" ca="1" si="279"/>
        <v>0</v>
      </c>
      <c r="AP72" s="6">
        <f t="shared" ca="1" si="280"/>
        <v>0</v>
      </c>
      <c r="AQ72">
        <f t="shared" ca="1" si="281"/>
        <v>0</v>
      </c>
      <c r="AR72" s="6">
        <f t="shared" ca="1" si="282"/>
        <v>0</v>
      </c>
      <c r="AS72" s="97">
        <f t="shared" ca="1" si="283"/>
        <v>0</v>
      </c>
      <c r="AT72" s="6">
        <f t="shared" ca="1" si="284"/>
        <v>0</v>
      </c>
      <c r="AU72">
        <f t="shared" ca="1" si="285"/>
        <v>0</v>
      </c>
      <c r="AV72" s="6">
        <f t="shared" ca="1" si="286"/>
        <v>0</v>
      </c>
      <c r="AW72">
        <f t="shared" ca="1" si="287"/>
        <v>0</v>
      </c>
      <c r="AX72" s="6">
        <f t="shared" ca="1" si="288"/>
        <v>0</v>
      </c>
      <c r="AY72">
        <f t="shared" ca="1" si="289"/>
        <v>0</v>
      </c>
      <c r="AZ72" s="6">
        <f t="shared" ca="1" si="290"/>
        <v>0</v>
      </c>
      <c r="BA72">
        <f t="shared" ca="1" si="291"/>
        <v>0</v>
      </c>
      <c r="BB72" s="6">
        <f t="shared" ca="1" si="292"/>
        <v>0</v>
      </c>
      <c r="BC72">
        <f t="shared" ca="1" si="293"/>
        <v>0</v>
      </c>
      <c r="BD72" s="6">
        <f t="shared" ca="1" si="294"/>
        <v>0</v>
      </c>
    </row>
    <row r="73" spans="14:341" x14ac:dyDescent="0.2">
      <c r="T73" s="100">
        <v>31</v>
      </c>
      <c r="U73">
        <f t="shared" ca="1" si="259"/>
        <v>0</v>
      </c>
      <c r="V73" s="6">
        <f t="shared" ca="1" si="260"/>
        <v>0</v>
      </c>
      <c r="W73">
        <f t="shared" ca="1" si="261"/>
        <v>0</v>
      </c>
      <c r="X73" s="6">
        <f t="shared" ca="1" si="262"/>
        <v>0</v>
      </c>
      <c r="Y73">
        <f t="shared" ca="1" si="263"/>
        <v>0</v>
      </c>
      <c r="Z73" s="6">
        <f t="shared" ca="1" si="264"/>
        <v>0</v>
      </c>
      <c r="AA73">
        <f t="shared" ca="1" si="265"/>
        <v>0</v>
      </c>
      <c r="AB73" s="6">
        <f t="shared" ca="1" si="266"/>
        <v>0</v>
      </c>
      <c r="AC73">
        <f t="shared" ca="1" si="267"/>
        <v>0</v>
      </c>
      <c r="AD73" s="6">
        <f t="shared" ca="1" si="268"/>
        <v>0</v>
      </c>
      <c r="AE73">
        <f t="shared" ca="1" si="269"/>
        <v>0</v>
      </c>
      <c r="AF73" s="6">
        <f t="shared" ca="1" si="270"/>
        <v>0</v>
      </c>
      <c r="AG73">
        <f t="shared" ca="1" si="271"/>
        <v>0</v>
      </c>
      <c r="AH73" s="6">
        <f t="shared" ca="1" si="272"/>
        <v>0</v>
      </c>
      <c r="AI73">
        <f t="shared" ca="1" si="273"/>
        <v>0</v>
      </c>
      <c r="AJ73" s="6">
        <f t="shared" ca="1" si="274"/>
        <v>0</v>
      </c>
      <c r="AK73">
        <f t="shared" ca="1" si="275"/>
        <v>0</v>
      </c>
      <c r="AL73" s="6">
        <f t="shared" ca="1" si="276"/>
        <v>0</v>
      </c>
      <c r="AM73">
        <f t="shared" ca="1" si="277"/>
        <v>0</v>
      </c>
      <c r="AN73" s="6">
        <f t="shared" ca="1" si="278"/>
        <v>0</v>
      </c>
      <c r="AO73">
        <f t="shared" ca="1" si="279"/>
        <v>0</v>
      </c>
      <c r="AP73" s="6">
        <f t="shared" ca="1" si="280"/>
        <v>0</v>
      </c>
      <c r="AQ73">
        <f t="shared" ca="1" si="281"/>
        <v>0</v>
      </c>
      <c r="AR73" s="6">
        <f t="shared" ca="1" si="282"/>
        <v>0</v>
      </c>
      <c r="AS73" s="97">
        <f t="shared" ca="1" si="283"/>
        <v>0</v>
      </c>
      <c r="AT73" s="6">
        <f t="shared" ca="1" si="284"/>
        <v>0</v>
      </c>
      <c r="AU73">
        <f t="shared" ca="1" si="285"/>
        <v>0</v>
      </c>
      <c r="AV73" s="6">
        <f t="shared" ca="1" si="286"/>
        <v>0</v>
      </c>
      <c r="AW73">
        <f t="shared" ca="1" si="287"/>
        <v>0</v>
      </c>
      <c r="AX73" s="6">
        <f t="shared" ca="1" si="288"/>
        <v>0</v>
      </c>
      <c r="AY73">
        <f t="shared" ca="1" si="289"/>
        <v>0</v>
      </c>
      <c r="AZ73" s="6">
        <f t="shared" ca="1" si="290"/>
        <v>0</v>
      </c>
      <c r="BA73">
        <f t="shared" ca="1" si="291"/>
        <v>0</v>
      </c>
      <c r="BB73" s="6">
        <f t="shared" ca="1" si="292"/>
        <v>0</v>
      </c>
      <c r="BC73">
        <f t="shared" ca="1" si="293"/>
        <v>0</v>
      </c>
      <c r="BD73" s="6">
        <f t="shared" ca="1" si="294"/>
        <v>0</v>
      </c>
    </row>
    <row r="74" spans="14:341" x14ac:dyDescent="0.2">
      <c r="T74" s="100">
        <v>32</v>
      </c>
      <c r="U74">
        <f t="shared" ca="1" si="259"/>
        <v>0</v>
      </c>
      <c r="V74" s="6">
        <f t="shared" ca="1" si="260"/>
        <v>0</v>
      </c>
      <c r="W74">
        <f t="shared" ca="1" si="261"/>
        <v>0</v>
      </c>
      <c r="X74" s="6">
        <f t="shared" ca="1" si="262"/>
        <v>0</v>
      </c>
      <c r="Y74">
        <f t="shared" ca="1" si="263"/>
        <v>0</v>
      </c>
      <c r="Z74" s="6">
        <f t="shared" ca="1" si="264"/>
        <v>0</v>
      </c>
      <c r="AA74">
        <f t="shared" ca="1" si="265"/>
        <v>0</v>
      </c>
      <c r="AB74" s="6">
        <f t="shared" ca="1" si="266"/>
        <v>0</v>
      </c>
      <c r="AC74">
        <f t="shared" ca="1" si="267"/>
        <v>0</v>
      </c>
      <c r="AD74" s="6">
        <f t="shared" ca="1" si="268"/>
        <v>0</v>
      </c>
      <c r="AE74">
        <f t="shared" ca="1" si="269"/>
        <v>0</v>
      </c>
      <c r="AF74" s="6">
        <f t="shared" ca="1" si="270"/>
        <v>0</v>
      </c>
      <c r="AG74">
        <f t="shared" ca="1" si="271"/>
        <v>0</v>
      </c>
      <c r="AH74" s="6">
        <f t="shared" ca="1" si="272"/>
        <v>0</v>
      </c>
      <c r="AI74">
        <f t="shared" ca="1" si="273"/>
        <v>0</v>
      </c>
      <c r="AJ74" s="6">
        <f t="shared" ca="1" si="274"/>
        <v>0</v>
      </c>
      <c r="AK74">
        <f t="shared" ca="1" si="275"/>
        <v>0</v>
      </c>
      <c r="AL74" s="6">
        <f t="shared" ca="1" si="276"/>
        <v>0</v>
      </c>
      <c r="AM74">
        <f t="shared" ca="1" si="277"/>
        <v>0</v>
      </c>
      <c r="AN74" s="6">
        <f t="shared" ca="1" si="278"/>
        <v>0</v>
      </c>
      <c r="AO74">
        <f t="shared" ca="1" si="279"/>
        <v>0</v>
      </c>
      <c r="AP74" s="6">
        <f t="shared" ca="1" si="280"/>
        <v>0</v>
      </c>
      <c r="AQ74">
        <f t="shared" ca="1" si="281"/>
        <v>0</v>
      </c>
      <c r="AR74" s="6">
        <f t="shared" ca="1" si="282"/>
        <v>0</v>
      </c>
      <c r="AS74" s="97">
        <f t="shared" ca="1" si="283"/>
        <v>0</v>
      </c>
      <c r="AT74" s="6">
        <f t="shared" ca="1" si="284"/>
        <v>0</v>
      </c>
      <c r="AU74">
        <f t="shared" ca="1" si="285"/>
        <v>0</v>
      </c>
      <c r="AV74" s="6">
        <f t="shared" ca="1" si="286"/>
        <v>0</v>
      </c>
      <c r="AW74">
        <f t="shared" ca="1" si="287"/>
        <v>0</v>
      </c>
      <c r="AX74" s="6">
        <f t="shared" ca="1" si="288"/>
        <v>0</v>
      </c>
      <c r="AY74">
        <f t="shared" ca="1" si="289"/>
        <v>0</v>
      </c>
      <c r="AZ74" s="6">
        <f t="shared" ca="1" si="290"/>
        <v>0</v>
      </c>
      <c r="BA74">
        <f t="shared" ca="1" si="291"/>
        <v>0</v>
      </c>
      <c r="BB74" s="6">
        <f t="shared" ca="1" si="292"/>
        <v>0</v>
      </c>
      <c r="BC74">
        <f t="shared" ca="1" si="293"/>
        <v>0</v>
      </c>
      <c r="BD74" s="6">
        <f t="shared" ca="1" si="294"/>
        <v>0</v>
      </c>
    </row>
    <row r="75" spans="14:341" x14ac:dyDescent="0.2">
      <c r="T75" s="100">
        <v>33</v>
      </c>
      <c r="U75">
        <f t="shared" ca="1" si="259"/>
        <v>0</v>
      </c>
      <c r="V75" s="6">
        <f t="shared" ca="1" si="260"/>
        <v>0</v>
      </c>
      <c r="W75">
        <f t="shared" ca="1" si="261"/>
        <v>0</v>
      </c>
      <c r="X75" s="6">
        <f t="shared" ca="1" si="262"/>
        <v>0</v>
      </c>
      <c r="Y75">
        <f t="shared" ca="1" si="263"/>
        <v>0</v>
      </c>
      <c r="Z75" s="6">
        <f t="shared" ca="1" si="264"/>
        <v>0</v>
      </c>
      <c r="AA75">
        <f t="shared" ca="1" si="265"/>
        <v>0</v>
      </c>
      <c r="AB75" s="6">
        <f t="shared" ca="1" si="266"/>
        <v>0</v>
      </c>
      <c r="AC75">
        <f t="shared" ca="1" si="267"/>
        <v>0</v>
      </c>
      <c r="AD75" s="6">
        <f t="shared" ca="1" si="268"/>
        <v>0</v>
      </c>
      <c r="AE75">
        <f t="shared" ca="1" si="269"/>
        <v>0</v>
      </c>
      <c r="AF75" s="6">
        <f t="shared" ca="1" si="270"/>
        <v>0</v>
      </c>
      <c r="AG75">
        <f t="shared" ca="1" si="271"/>
        <v>0</v>
      </c>
      <c r="AH75" s="6">
        <f t="shared" ca="1" si="272"/>
        <v>0</v>
      </c>
      <c r="AI75">
        <f t="shared" ca="1" si="273"/>
        <v>0</v>
      </c>
      <c r="AJ75" s="6">
        <f t="shared" ca="1" si="274"/>
        <v>0</v>
      </c>
      <c r="AK75">
        <f t="shared" ca="1" si="275"/>
        <v>0</v>
      </c>
      <c r="AL75" s="6">
        <f t="shared" ca="1" si="276"/>
        <v>0</v>
      </c>
      <c r="AM75">
        <f t="shared" ca="1" si="277"/>
        <v>0</v>
      </c>
      <c r="AN75" s="6">
        <f t="shared" ca="1" si="278"/>
        <v>0</v>
      </c>
      <c r="AO75">
        <f t="shared" ca="1" si="279"/>
        <v>0</v>
      </c>
      <c r="AP75" s="6">
        <f t="shared" ca="1" si="280"/>
        <v>0</v>
      </c>
      <c r="AQ75">
        <f t="shared" ca="1" si="281"/>
        <v>0</v>
      </c>
      <c r="AR75" s="6">
        <f t="shared" ca="1" si="282"/>
        <v>0</v>
      </c>
      <c r="AS75" s="97">
        <f t="shared" ca="1" si="283"/>
        <v>0</v>
      </c>
      <c r="AT75" s="6">
        <f t="shared" ca="1" si="284"/>
        <v>0</v>
      </c>
      <c r="AU75">
        <f t="shared" ca="1" si="285"/>
        <v>0</v>
      </c>
      <c r="AV75" s="6">
        <f t="shared" ca="1" si="286"/>
        <v>0</v>
      </c>
      <c r="AW75">
        <f t="shared" ca="1" si="287"/>
        <v>0</v>
      </c>
      <c r="AX75" s="6">
        <f t="shared" ca="1" si="288"/>
        <v>0</v>
      </c>
      <c r="AY75">
        <f t="shared" ca="1" si="289"/>
        <v>0</v>
      </c>
      <c r="AZ75" s="6">
        <f t="shared" ca="1" si="290"/>
        <v>0</v>
      </c>
      <c r="BA75">
        <f t="shared" ca="1" si="291"/>
        <v>0</v>
      </c>
      <c r="BB75" s="6">
        <f t="shared" ca="1" si="292"/>
        <v>0</v>
      </c>
      <c r="BC75">
        <f t="shared" ca="1" si="293"/>
        <v>0</v>
      </c>
      <c r="BD75" s="6">
        <f t="shared" ca="1" si="294"/>
        <v>0</v>
      </c>
    </row>
    <row r="76" spans="14:341" x14ac:dyDescent="0.2">
      <c r="T76" s="100">
        <v>34</v>
      </c>
      <c r="U76">
        <f t="shared" ca="1" si="259"/>
        <v>0</v>
      </c>
      <c r="V76" s="6">
        <f t="shared" ca="1" si="260"/>
        <v>0</v>
      </c>
      <c r="W76">
        <f t="shared" ca="1" si="261"/>
        <v>0</v>
      </c>
      <c r="X76" s="6">
        <f t="shared" ca="1" si="262"/>
        <v>0</v>
      </c>
      <c r="Y76">
        <f t="shared" ca="1" si="263"/>
        <v>0</v>
      </c>
      <c r="Z76" s="6">
        <f t="shared" ca="1" si="264"/>
        <v>0</v>
      </c>
      <c r="AA76">
        <f t="shared" ca="1" si="265"/>
        <v>0</v>
      </c>
      <c r="AB76" s="6">
        <f t="shared" ca="1" si="266"/>
        <v>0</v>
      </c>
      <c r="AC76">
        <f t="shared" ca="1" si="267"/>
        <v>0</v>
      </c>
      <c r="AD76" s="6">
        <f t="shared" ca="1" si="268"/>
        <v>0</v>
      </c>
      <c r="AE76">
        <f t="shared" ca="1" si="269"/>
        <v>0</v>
      </c>
      <c r="AF76" s="6">
        <f t="shared" ca="1" si="270"/>
        <v>0</v>
      </c>
      <c r="AG76">
        <f t="shared" ca="1" si="271"/>
        <v>0</v>
      </c>
      <c r="AH76" s="6">
        <f t="shared" ca="1" si="272"/>
        <v>0</v>
      </c>
      <c r="AI76">
        <f t="shared" ca="1" si="273"/>
        <v>0</v>
      </c>
      <c r="AJ76" s="6">
        <f t="shared" ca="1" si="274"/>
        <v>0</v>
      </c>
      <c r="AK76">
        <f t="shared" ca="1" si="275"/>
        <v>0</v>
      </c>
      <c r="AL76" s="6">
        <f t="shared" ca="1" si="276"/>
        <v>0</v>
      </c>
      <c r="AM76">
        <f t="shared" ca="1" si="277"/>
        <v>0</v>
      </c>
      <c r="AN76" s="6">
        <f t="shared" ca="1" si="278"/>
        <v>0</v>
      </c>
      <c r="AO76">
        <f t="shared" ca="1" si="279"/>
        <v>0</v>
      </c>
      <c r="AP76" s="6">
        <f t="shared" ca="1" si="280"/>
        <v>0</v>
      </c>
      <c r="AQ76">
        <f t="shared" ca="1" si="281"/>
        <v>0</v>
      </c>
      <c r="AR76" s="6">
        <f t="shared" ca="1" si="282"/>
        <v>0</v>
      </c>
      <c r="AS76" s="97">
        <f t="shared" ca="1" si="283"/>
        <v>0</v>
      </c>
      <c r="AT76" s="6">
        <f t="shared" ca="1" si="284"/>
        <v>0</v>
      </c>
      <c r="AU76">
        <f t="shared" ca="1" si="285"/>
        <v>0</v>
      </c>
      <c r="AV76" s="6">
        <f t="shared" ca="1" si="286"/>
        <v>0</v>
      </c>
      <c r="AW76">
        <f t="shared" ca="1" si="287"/>
        <v>0</v>
      </c>
      <c r="AX76" s="6">
        <f t="shared" ca="1" si="288"/>
        <v>0</v>
      </c>
      <c r="AY76">
        <f t="shared" ca="1" si="289"/>
        <v>0</v>
      </c>
      <c r="AZ76" s="6">
        <f t="shared" ca="1" si="290"/>
        <v>0</v>
      </c>
      <c r="BA76">
        <f t="shared" ca="1" si="291"/>
        <v>0</v>
      </c>
      <c r="BB76" s="6">
        <f t="shared" ca="1" si="292"/>
        <v>0</v>
      </c>
      <c r="BC76">
        <f t="shared" ca="1" si="293"/>
        <v>0</v>
      </c>
      <c r="BD76" s="6">
        <f t="shared" ca="1" si="294"/>
        <v>0</v>
      </c>
    </row>
    <row r="77" spans="14:341" x14ac:dyDescent="0.2">
      <c r="U77">
        <f t="shared" ref="U77:BD77" ca="1" si="295">SUM(U43:U76)</f>
        <v>0</v>
      </c>
      <c r="V77" s="6">
        <f t="shared" ca="1" si="295"/>
        <v>0</v>
      </c>
      <c r="W77">
        <f t="shared" ca="1" si="295"/>
        <v>0</v>
      </c>
      <c r="X77" s="6">
        <f t="shared" ca="1" si="295"/>
        <v>0</v>
      </c>
      <c r="Y77">
        <f t="shared" ca="1" si="295"/>
        <v>0</v>
      </c>
      <c r="Z77" s="6">
        <f t="shared" ca="1" si="295"/>
        <v>0</v>
      </c>
      <c r="AA77">
        <f t="shared" ca="1" si="295"/>
        <v>0</v>
      </c>
      <c r="AB77" s="6">
        <f t="shared" ca="1" si="295"/>
        <v>0</v>
      </c>
      <c r="AC77">
        <f t="shared" ca="1" si="295"/>
        <v>0</v>
      </c>
      <c r="AD77" s="6">
        <f t="shared" ca="1" si="295"/>
        <v>0</v>
      </c>
      <c r="AE77">
        <f t="shared" ca="1" si="295"/>
        <v>0</v>
      </c>
      <c r="AF77" s="6">
        <f t="shared" ca="1" si="295"/>
        <v>0</v>
      </c>
      <c r="AG77">
        <f t="shared" ca="1" si="295"/>
        <v>0</v>
      </c>
      <c r="AH77" s="6">
        <f t="shared" ca="1" si="295"/>
        <v>0</v>
      </c>
      <c r="AI77">
        <f t="shared" ca="1" si="295"/>
        <v>0</v>
      </c>
      <c r="AJ77" s="6">
        <f t="shared" ca="1" si="295"/>
        <v>0</v>
      </c>
      <c r="AK77">
        <f t="shared" ca="1" si="295"/>
        <v>0</v>
      </c>
      <c r="AL77" s="6">
        <f t="shared" ca="1" si="295"/>
        <v>0</v>
      </c>
      <c r="AM77">
        <f t="shared" ca="1" si="295"/>
        <v>0</v>
      </c>
      <c r="AN77" s="6">
        <f t="shared" ca="1" si="295"/>
        <v>0</v>
      </c>
      <c r="AO77">
        <f t="shared" ca="1" si="295"/>
        <v>0</v>
      </c>
      <c r="AP77" s="6">
        <f t="shared" ca="1" si="295"/>
        <v>0</v>
      </c>
      <c r="AQ77">
        <f t="shared" ca="1" si="295"/>
        <v>0</v>
      </c>
      <c r="AR77" s="6">
        <f t="shared" ca="1" si="295"/>
        <v>0</v>
      </c>
      <c r="AS77" s="97">
        <f t="shared" ca="1" si="295"/>
        <v>0</v>
      </c>
      <c r="AT77" s="6">
        <f t="shared" ca="1" si="295"/>
        <v>0</v>
      </c>
      <c r="AU77">
        <f t="shared" ca="1" si="295"/>
        <v>0</v>
      </c>
      <c r="AV77" s="6">
        <f t="shared" ca="1" si="295"/>
        <v>0</v>
      </c>
      <c r="AW77">
        <f t="shared" ca="1" si="295"/>
        <v>0</v>
      </c>
      <c r="AX77" s="6">
        <f t="shared" ca="1" si="295"/>
        <v>0</v>
      </c>
      <c r="AY77">
        <f t="shared" ca="1" si="295"/>
        <v>0</v>
      </c>
      <c r="AZ77" s="6">
        <f t="shared" ca="1" si="295"/>
        <v>0</v>
      </c>
      <c r="BA77">
        <f t="shared" ca="1" si="295"/>
        <v>0</v>
      </c>
      <c r="BB77" s="6">
        <f t="shared" ca="1" si="295"/>
        <v>0</v>
      </c>
      <c r="BC77">
        <f t="shared" ca="1" si="295"/>
        <v>0</v>
      </c>
      <c r="BD77" s="6">
        <f t="shared" ca="1" si="295"/>
        <v>0</v>
      </c>
    </row>
    <row r="78" spans="14:341" x14ac:dyDescent="0.2">
      <c r="U78" s="100" t="s">
        <v>248</v>
      </c>
      <c r="V78" s="6">
        <f ca="1">U77-V77</f>
        <v>0</v>
      </c>
      <c r="W78" s="100" t="s">
        <v>248</v>
      </c>
      <c r="X78" s="6">
        <f ca="1">W77-X77</f>
        <v>0</v>
      </c>
      <c r="Y78" s="100" t="s">
        <v>248</v>
      </c>
      <c r="Z78" s="6">
        <f ca="1">Y77-Z77</f>
        <v>0</v>
      </c>
      <c r="AA78" s="100" t="s">
        <v>248</v>
      </c>
      <c r="AB78" s="6">
        <f ca="1">AA77-AB77</f>
        <v>0</v>
      </c>
      <c r="AC78" s="100" t="s">
        <v>248</v>
      </c>
      <c r="AD78" s="6">
        <f ca="1">AC77-AD77</f>
        <v>0</v>
      </c>
      <c r="AE78" s="100" t="s">
        <v>248</v>
      </c>
      <c r="AF78" s="6">
        <f ca="1">AE77-AF77</f>
        <v>0</v>
      </c>
      <c r="AG78" s="100" t="s">
        <v>248</v>
      </c>
      <c r="AH78" s="6">
        <f ca="1">AG77-AH77</f>
        <v>0</v>
      </c>
      <c r="AI78" s="100" t="s">
        <v>248</v>
      </c>
      <c r="AJ78" s="6">
        <f ca="1">AI77-AJ77</f>
        <v>0</v>
      </c>
      <c r="AK78" s="100" t="s">
        <v>248</v>
      </c>
      <c r="AL78" s="6">
        <f ca="1">AK77-AL77</f>
        <v>0</v>
      </c>
      <c r="AM78" s="100" t="s">
        <v>248</v>
      </c>
      <c r="AN78" s="6">
        <f ca="1">AM77-AN77</f>
        <v>0</v>
      </c>
      <c r="AO78" s="100" t="s">
        <v>248</v>
      </c>
      <c r="AP78" s="6">
        <f ca="1">AO77-AP77</f>
        <v>0</v>
      </c>
      <c r="AQ78" s="100" t="s">
        <v>248</v>
      </c>
      <c r="AR78" s="6">
        <f ca="1">AQ77-AR77</f>
        <v>0</v>
      </c>
      <c r="AS78" s="100" t="s">
        <v>248</v>
      </c>
      <c r="AT78" s="6">
        <f ca="1">AS77-AT77</f>
        <v>0</v>
      </c>
      <c r="AU78" s="100" t="s">
        <v>248</v>
      </c>
      <c r="AV78" s="6">
        <f ca="1">AU77-AV77</f>
        <v>0</v>
      </c>
      <c r="AW78" s="100" t="s">
        <v>248</v>
      </c>
      <c r="AX78" s="6">
        <f ca="1">AW77-AX77</f>
        <v>0</v>
      </c>
      <c r="AY78" s="100" t="s">
        <v>248</v>
      </c>
      <c r="AZ78" s="6">
        <f ca="1">AY77-AZ77</f>
        <v>0</v>
      </c>
      <c r="BA78" s="100" t="s">
        <v>248</v>
      </c>
      <c r="BB78" s="6">
        <f ca="1">BA77-BB77</f>
        <v>0</v>
      </c>
      <c r="BC78" s="100" t="s">
        <v>248</v>
      </c>
      <c r="BD78" s="6">
        <f ca="1">BC77-BD77</f>
        <v>0</v>
      </c>
    </row>
    <row r="80" spans="14:341" x14ac:dyDescent="0.2">
      <c r="N80" t="s">
        <v>215</v>
      </c>
      <c r="O80" t="s">
        <v>218</v>
      </c>
      <c r="P80" t="s">
        <v>216</v>
      </c>
      <c r="Q80" t="s">
        <v>219</v>
      </c>
      <c r="R80" t="s">
        <v>53</v>
      </c>
      <c r="AG80" t="s">
        <v>215</v>
      </c>
      <c r="AH80" t="s">
        <v>218</v>
      </c>
      <c r="AI80" t="s">
        <v>216</v>
      </c>
      <c r="AJ80" t="s">
        <v>219</v>
      </c>
      <c r="AK80" t="s">
        <v>53</v>
      </c>
      <c r="AZ80" t="s">
        <v>215</v>
      </c>
      <c r="BA80" t="s">
        <v>218</v>
      </c>
      <c r="BB80" t="s">
        <v>216</v>
      </c>
      <c r="BC80" t="s">
        <v>219</v>
      </c>
      <c r="BD80" t="s">
        <v>53</v>
      </c>
      <c r="BS80" t="s">
        <v>215</v>
      </c>
      <c r="BT80" t="s">
        <v>218</v>
      </c>
      <c r="BU80" t="s">
        <v>216</v>
      </c>
      <c r="BV80" t="s">
        <v>219</v>
      </c>
      <c r="BW80" t="s">
        <v>53</v>
      </c>
      <c r="CL80" t="s">
        <v>215</v>
      </c>
      <c r="CM80" t="s">
        <v>218</v>
      </c>
      <c r="CN80" t="s">
        <v>216</v>
      </c>
      <c r="CO80" t="s">
        <v>219</v>
      </c>
      <c r="CP80" t="s">
        <v>53</v>
      </c>
      <c r="DE80" t="s">
        <v>215</v>
      </c>
      <c r="DF80" t="s">
        <v>218</v>
      </c>
      <c r="DG80" t="s">
        <v>216</v>
      </c>
      <c r="DH80" t="s">
        <v>219</v>
      </c>
      <c r="DI80" t="s">
        <v>53</v>
      </c>
      <c r="DX80" t="s">
        <v>215</v>
      </c>
      <c r="DY80" t="s">
        <v>218</v>
      </c>
      <c r="DZ80" t="s">
        <v>216</v>
      </c>
      <c r="EA80" t="s">
        <v>219</v>
      </c>
      <c r="EB80" t="s">
        <v>53</v>
      </c>
      <c r="EQ80" t="s">
        <v>215</v>
      </c>
      <c r="ER80" t="s">
        <v>218</v>
      </c>
      <c r="ES80" t="s">
        <v>216</v>
      </c>
      <c r="ET80" t="s">
        <v>219</v>
      </c>
      <c r="EU80" t="s">
        <v>53</v>
      </c>
      <c r="FJ80" t="s">
        <v>215</v>
      </c>
      <c r="FK80" t="s">
        <v>218</v>
      </c>
      <c r="FL80" t="s">
        <v>216</v>
      </c>
      <c r="FM80" t="s">
        <v>219</v>
      </c>
      <c r="FN80" t="s">
        <v>53</v>
      </c>
      <c r="FV80" s="97"/>
      <c r="GC80" t="s">
        <v>215</v>
      </c>
      <c r="GD80" t="s">
        <v>218</v>
      </c>
      <c r="GE80" t="s">
        <v>216</v>
      </c>
      <c r="GF80" t="s">
        <v>219</v>
      </c>
      <c r="GG80" t="s">
        <v>53</v>
      </c>
      <c r="GO80" s="97"/>
      <c r="GV80" t="s">
        <v>215</v>
      </c>
      <c r="GW80" t="s">
        <v>218</v>
      </c>
      <c r="GX80" t="s">
        <v>216</v>
      </c>
      <c r="GY80" t="s">
        <v>219</v>
      </c>
      <c r="GZ80" t="s">
        <v>53</v>
      </c>
      <c r="HH80" s="97"/>
      <c r="HO80" t="s">
        <v>215</v>
      </c>
      <c r="HP80" t="s">
        <v>218</v>
      </c>
      <c r="HQ80" t="s">
        <v>216</v>
      </c>
      <c r="HR80" t="s">
        <v>219</v>
      </c>
      <c r="HS80" t="s">
        <v>53</v>
      </c>
      <c r="IA80" s="97"/>
      <c r="IH80" t="s">
        <v>215</v>
      </c>
      <c r="II80" t="s">
        <v>218</v>
      </c>
      <c r="IJ80" t="s">
        <v>216</v>
      </c>
      <c r="IK80" t="s">
        <v>219</v>
      </c>
      <c r="IL80" t="s">
        <v>53</v>
      </c>
      <c r="IT80" s="97"/>
      <c r="JA80" t="s">
        <v>215</v>
      </c>
      <c r="JB80" t="s">
        <v>218</v>
      </c>
      <c r="JC80" t="s">
        <v>216</v>
      </c>
      <c r="JD80" t="s">
        <v>219</v>
      </c>
      <c r="JE80" t="s">
        <v>53</v>
      </c>
      <c r="JM80" s="97"/>
      <c r="JT80" t="s">
        <v>215</v>
      </c>
      <c r="JU80" t="s">
        <v>218</v>
      </c>
      <c r="JV80" t="s">
        <v>216</v>
      </c>
      <c r="JW80" t="s">
        <v>219</v>
      </c>
      <c r="JX80" t="s">
        <v>53</v>
      </c>
      <c r="KF80" s="97"/>
      <c r="KM80" t="s">
        <v>215</v>
      </c>
      <c r="KN80" t="s">
        <v>218</v>
      </c>
      <c r="KO80" t="s">
        <v>216</v>
      </c>
      <c r="KP80" t="s">
        <v>219</v>
      </c>
      <c r="KQ80" t="s">
        <v>53</v>
      </c>
      <c r="KY80" s="97"/>
      <c r="LF80" t="s">
        <v>215</v>
      </c>
      <c r="LG80" t="s">
        <v>218</v>
      </c>
      <c r="LH80" t="s">
        <v>216</v>
      </c>
      <c r="LI80" t="s">
        <v>219</v>
      </c>
      <c r="LJ80" t="s">
        <v>53</v>
      </c>
      <c r="LR80" s="97"/>
      <c r="LY80" t="s">
        <v>215</v>
      </c>
      <c r="LZ80" t="s">
        <v>218</v>
      </c>
      <c r="MA80" t="s">
        <v>216</v>
      </c>
      <c r="MB80" t="s">
        <v>219</v>
      </c>
      <c r="MC80" t="s">
        <v>53</v>
      </c>
    </row>
    <row r="81" spans="1:341" x14ac:dyDescent="0.2">
      <c r="A81" t="s">
        <v>153</v>
      </c>
      <c r="N81">
        <f t="shared" ref="N81:N114" ca="1" si="296">IF(Q4=3,1,0)</f>
        <v>0</v>
      </c>
      <c r="O81">
        <f t="shared" ref="O81:O114" si="297">IF(S4=3,1,0)</f>
        <v>0</v>
      </c>
      <c r="P81">
        <f t="shared" ref="P81:P114" ca="1" si="298">IF(R4=1,1,0)</f>
        <v>1</v>
      </c>
      <c r="Q81">
        <f t="shared" ref="Q81:Q114" si="299">IF(T4=1,1,0)</f>
        <v>0</v>
      </c>
      <c r="R81">
        <f t="shared" ref="R81:R114" ca="1" si="300">IF(N81+O81+P81+Q81=1,0,1)</f>
        <v>0</v>
      </c>
      <c r="AG81">
        <f t="shared" ref="AG81:AG114" si="301">IF(AJ4=3,1,0)</f>
        <v>0</v>
      </c>
      <c r="AH81">
        <f t="shared" ref="AH81:AH114" ca="1" si="302">IF(AL4=3,1,0)</f>
        <v>0</v>
      </c>
      <c r="AI81">
        <f t="shared" ref="AI81:AI114" si="303">IF(AK4=1,1,0)</f>
        <v>0</v>
      </c>
      <c r="AJ81">
        <f t="shared" ref="AJ81:AJ114" ca="1" si="304">IF(AM4=1,1,0)</f>
        <v>1</v>
      </c>
      <c r="AK81">
        <f t="shared" ref="AK81:AK114" ca="1" si="305">IF(AG81+AH81+AI81+AJ81=1,0,1)</f>
        <v>0</v>
      </c>
      <c r="AZ81">
        <f t="shared" ref="AZ81:AZ114" ca="1" si="306">IF(BC4=3,1,0)</f>
        <v>0</v>
      </c>
      <c r="BA81">
        <f t="shared" ref="BA81:BA114" si="307">IF(BE4=3,1,0)</f>
        <v>0</v>
      </c>
      <c r="BB81">
        <f t="shared" ref="BB81:BB114" ca="1" si="308">IF(BD4=1,1,0)</f>
        <v>1</v>
      </c>
      <c r="BC81">
        <f t="shared" ref="BC81:BC114" si="309">IF(BF4=1,1,0)</f>
        <v>0</v>
      </c>
      <c r="BD81">
        <f t="shared" ref="BD81:BD114" ca="1" si="310">IF(AZ81+BA81+BB81+BC81=1,0,1)</f>
        <v>0</v>
      </c>
      <c r="BS81">
        <f t="shared" ref="BS81:BS114" si="311">IF(BV4=3,1,0)</f>
        <v>0</v>
      </c>
      <c r="BT81">
        <f t="shared" ref="BT81:BT114" ca="1" si="312">IF(BX4=3,1,0)</f>
        <v>0</v>
      </c>
      <c r="BU81">
        <f t="shared" ref="BU81:BU114" si="313">IF(BW4=1,1,0)</f>
        <v>0</v>
      </c>
      <c r="BV81">
        <f t="shared" ref="BV81:BV114" ca="1" si="314">IF(BY4=1,1,0)</f>
        <v>1</v>
      </c>
      <c r="BW81">
        <f t="shared" ref="BW81:BW114" ca="1" si="315">IF(BS81+BT81+BU81+BV81=1,0,1)</f>
        <v>0</v>
      </c>
      <c r="CL81">
        <f t="shared" ref="CL81:CL114" ca="1" si="316">IF(CO4=3,1,0)</f>
        <v>0</v>
      </c>
      <c r="CM81">
        <f t="shared" ref="CM81:CM114" si="317">IF(CQ4=3,1,0)</f>
        <v>0</v>
      </c>
      <c r="CN81">
        <f t="shared" ref="CN81:CN114" ca="1" si="318">IF(CP4=1,1,0)</f>
        <v>1</v>
      </c>
      <c r="CO81">
        <f t="shared" ref="CO81:CO114" si="319">IF(CR4=1,1,0)</f>
        <v>0</v>
      </c>
      <c r="CP81">
        <f t="shared" ref="CP81:CP114" ca="1" si="320">IF(CL81+CM81+CN81+CO81=1,0,1)</f>
        <v>0</v>
      </c>
      <c r="DE81">
        <f t="shared" ref="DE81:DE114" si="321">IF(DH4=3,1,0)</f>
        <v>0</v>
      </c>
      <c r="DF81">
        <f t="shared" ref="DF81:DF114" ca="1" si="322">IF(DJ4=3,1,0)</f>
        <v>0</v>
      </c>
      <c r="DG81">
        <f t="shared" ref="DG81:DG114" si="323">IF(DI4=1,1,0)</f>
        <v>0</v>
      </c>
      <c r="DH81">
        <f t="shared" ref="DH81:DH114" ca="1" si="324">IF(DK4=1,1,0)</f>
        <v>1</v>
      </c>
      <c r="DI81">
        <f t="shared" ref="DI81:DI114" ca="1" si="325">IF(DE81+DF81+DG81+DH81=1,0,1)</f>
        <v>0</v>
      </c>
      <c r="DX81">
        <f t="shared" ref="DX81:DX114" ca="1" si="326">IF(EA4=3,1,0)</f>
        <v>0</v>
      </c>
      <c r="DY81">
        <f t="shared" ref="DY81:DY114" si="327">IF(EC4=3,1,0)</f>
        <v>0</v>
      </c>
      <c r="DZ81">
        <f t="shared" ref="DZ81:DZ114" ca="1" si="328">IF(EB4=1,1,0)</f>
        <v>1</v>
      </c>
      <c r="EA81">
        <f t="shared" ref="EA81:EA114" si="329">IF(ED4=1,1,0)</f>
        <v>0</v>
      </c>
      <c r="EB81">
        <f t="shared" ref="EB81:EB114" ca="1" si="330">IF(DX81+DY81+DZ81+EA81=1,0,1)</f>
        <v>0</v>
      </c>
      <c r="EQ81">
        <f t="shared" ref="EQ81:EQ114" si="331">IF(ET4=3,1,0)</f>
        <v>0</v>
      </c>
      <c r="ER81">
        <f t="shared" ref="ER81:ER114" ca="1" si="332">IF(EV4=3,1,0)</f>
        <v>0</v>
      </c>
      <c r="ES81">
        <f t="shared" ref="ES81:ES114" si="333">IF(EU4=1,1,0)</f>
        <v>0</v>
      </c>
      <c r="ET81">
        <f t="shared" ref="ET81:ET114" ca="1" si="334">IF(EW4=1,1,0)</f>
        <v>1</v>
      </c>
      <c r="EU81">
        <f t="shared" ref="EU81:EU114" ca="1" si="335">IF(EQ81+ER81+ES81+ET81=1,0,1)</f>
        <v>0</v>
      </c>
      <c r="FJ81">
        <f t="shared" ref="FJ81:FJ114" ca="1" si="336">IF(FM4=3,1,0)</f>
        <v>0</v>
      </c>
      <c r="FK81">
        <f t="shared" ref="FK81:FK114" si="337">IF(FO4=3,1,0)</f>
        <v>0</v>
      </c>
      <c r="FL81">
        <f t="shared" ref="FL81:FL114" ca="1" si="338">IF(FN4=1,1,0)</f>
        <v>1</v>
      </c>
      <c r="FM81">
        <f t="shared" ref="FM81:FM114" si="339">IF(FP4=1,1,0)</f>
        <v>0</v>
      </c>
      <c r="FN81">
        <f t="shared" ref="FN81:FN114" ca="1" si="340">IF(FJ81+FK81+FL81+FM81=1,0,1)</f>
        <v>0</v>
      </c>
      <c r="FV81" s="97"/>
      <c r="GC81">
        <f t="shared" ref="GC81:GC114" si="341">IF(GF4=3,1,0)</f>
        <v>0</v>
      </c>
      <c r="GD81">
        <f t="shared" ref="GD81:GD114" ca="1" si="342">IF(GH4=3,1,0)</f>
        <v>0</v>
      </c>
      <c r="GE81">
        <f t="shared" ref="GE81:GE114" si="343">IF(GG4=1,1,0)</f>
        <v>0</v>
      </c>
      <c r="GF81">
        <f t="shared" ref="GF81:GF114" ca="1" si="344">IF(GI4=1,1,0)</f>
        <v>1</v>
      </c>
      <c r="GG81">
        <f t="shared" ref="GG81:GG114" ca="1" si="345">IF(GC81+GD81+GE81+GF81=1,0,1)</f>
        <v>0</v>
      </c>
      <c r="GO81" s="97"/>
      <c r="GV81">
        <f t="shared" ref="GV81:GV114" ca="1" si="346">IF(GY4=3,1,0)</f>
        <v>0</v>
      </c>
      <c r="GW81">
        <f t="shared" ref="GW81:GW114" si="347">IF(HA4=3,1,0)</f>
        <v>0</v>
      </c>
      <c r="GX81">
        <f t="shared" ref="GX81:GX114" ca="1" si="348">IF(GZ4=1,1,0)</f>
        <v>1</v>
      </c>
      <c r="GY81">
        <f t="shared" ref="GY81:GY114" si="349">IF(HB4=1,1,0)</f>
        <v>0</v>
      </c>
      <c r="GZ81">
        <f t="shared" ref="GZ81:GZ114" ca="1" si="350">IF(GV81+GW81+GX81+GY81=1,0,1)</f>
        <v>0</v>
      </c>
      <c r="HH81" s="97"/>
      <c r="HO81">
        <f t="shared" ref="HO81:HO114" si="351">IF(HR4=3,1,0)</f>
        <v>0</v>
      </c>
      <c r="HP81">
        <f t="shared" ref="HP81:HP114" ca="1" si="352">IF(HT4=3,1,0)</f>
        <v>0</v>
      </c>
      <c r="HQ81">
        <f t="shared" ref="HQ81:HQ114" si="353">IF(HS4=1,1,0)</f>
        <v>0</v>
      </c>
      <c r="HR81">
        <f t="shared" ref="HR81:HR114" ca="1" si="354">IF(HU4=1,1,0)</f>
        <v>1</v>
      </c>
      <c r="HS81">
        <f t="shared" ref="HS81:HS114" ca="1" si="355">IF(HO81+HP81+HQ81+HR81=1,0,1)</f>
        <v>0</v>
      </c>
      <c r="IA81" s="97"/>
      <c r="IH81">
        <f t="shared" ref="IH81:IH114" ca="1" si="356">IF(IK4=3,1,0)</f>
        <v>0</v>
      </c>
      <c r="II81">
        <f t="shared" ref="II81:II114" si="357">IF(IM4=3,1,0)</f>
        <v>0</v>
      </c>
      <c r="IJ81">
        <f t="shared" ref="IJ81:IJ114" ca="1" si="358">IF(IL4=1,1,0)</f>
        <v>1</v>
      </c>
      <c r="IK81">
        <f t="shared" ref="IK81:IK114" si="359">IF(IN4=1,1,0)</f>
        <v>0</v>
      </c>
      <c r="IL81">
        <f t="shared" ref="IL81:IL114" ca="1" si="360">IF(IH81+II81+IJ81+IK81=1,0,1)</f>
        <v>0</v>
      </c>
      <c r="IT81" s="97"/>
      <c r="JA81">
        <f t="shared" ref="JA81:JA114" si="361">IF(JD4=3,1,0)</f>
        <v>0</v>
      </c>
      <c r="JB81">
        <f t="shared" ref="JB81:JB114" ca="1" si="362">IF(JF4=3,1,0)</f>
        <v>0</v>
      </c>
      <c r="JC81">
        <f t="shared" ref="JC81:JC114" si="363">IF(JE4=1,1,0)</f>
        <v>0</v>
      </c>
      <c r="JD81">
        <f t="shared" ref="JD81:JD114" ca="1" si="364">IF(JG4=1,1,0)</f>
        <v>1</v>
      </c>
      <c r="JE81">
        <f t="shared" ref="JE81:JE114" ca="1" si="365">IF(JA81+JB81+JC81+JD81=1,0,1)</f>
        <v>0</v>
      </c>
      <c r="JM81" s="97"/>
      <c r="JT81">
        <f t="shared" ref="JT81:JT114" ca="1" si="366">IF(JW4=3,1,0)</f>
        <v>0</v>
      </c>
      <c r="JU81">
        <f t="shared" ref="JU81:JU114" si="367">IF(JY4=3,1,0)</f>
        <v>0</v>
      </c>
      <c r="JV81">
        <f t="shared" ref="JV81:JV114" ca="1" si="368">IF(JX4=1,1,0)</f>
        <v>1</v>
      </c>
      <c r="JW81">
        <f t="shared" ref="JW81:JW114" si="369">IF(JZ4=1,1,0)</f>
        <v>0</v>
      </c>
      <c r="JX81">
        <f t="shared" ref="JX81:JX114" ca="1" si="370">IF(JT81+JU81+JV81+JW81=1,0,1)</f>
        <v>0</v>
      </c>
      <c r="KF81" s="97"/>
      <c r="KM81">
        <f t="shared" ref="KM81:KM114" si="371">IF(KP4=3,1,0)</f>
        <v>0</v>
      </c>
      <c r="KN81">
        <f t="shared" ref="KN81:KN114" ca="1" si="372">IF(KR4=3,1,0)</f>
        <v>0</v>
      </c>
      <c r="KO81">
        <f t="shared" ref="KO81:KO114" si="373">IF(KQ4=1,1,0)</f>
        <v>0</v>
      </c>
      <c r="KP81">
        <f t="shared" ref="KP81:KP114" ca="1" si="374">IF(KS4=1,1,0)</f>
        <v>1</v>
      </c>
      <c r="KQ81">
        <f t="shared" ref="KQ81:KQ114" ca="1" si="375">IF(KM81+KN81+KO81+KP81=1,0,1)</f>
        <v>0</v>
      </c>
      <c r="KY81" s="97"/>
      <c r="LF81">
        <f t="shared" ref="LF81:LF114" ca="1" si="376">IF(LI4=3,1,0)</f>
        <v>0</v>
      </c>
      <c r="LG81">
        <f t="shared" ref="LG81:LG114" si="377">IF(LK4=3,1,0)</f>
        <v>0</v>
      </c>
      <c r="LH81">
        <f t="shared" ref="LH81:LH114" ca="1" si="378">IF(LJ4=1,1,0)</f>
        <v>1</v>
      </c>
      <c r="LI81">
        <f t="shared" ref="LI81:LI114" si="379">IF(LL4=1,1,0)</f>
        <v>0</v>
      </c>
      <c r="LJ81">
        <f t="shared" ref="LJ81:LJ114" ca="1" si="380">IF(LF81+LG81+LH81+LI81=1,0,1)</f>
        <v>0</v>
      </c>
      <c r="LR81" s="97"/>
      <c r="LY81">
        <f t="shared" ref="LY81:LY114" si="381">IF(MB4=3,1,0)</f>
        <v>0</v>
      </c>
      <c r="LZ81">
        <f t="shared" ref="LZ81:LZ114" ca="1" si="382">IF(MD4=3,1,0)</f>
        <v>0</v>
      </c>
      <c r="MA81">
        <f t="shared" ref="MA81:MA114" si="383">IF(MC4=1,1,0)</f>
        <v>0</v>
      </c>
      <c r="MB81">
        <f t="shared" ref="MB81:MB114" ca="1" si="384">IF(ME4=1,1,0)</f>
        <v>1</v>
      </c>
      <c r="MC81">
        <f t="shared" ref="MC81:MC114" ca="1" si="385">IF(LY81+LZ81+MA81+MB81=1,0,1)</f>
        <v>0</v>
      </c>
    </row>
    <row r="82" spans="1:341" x14ac:dyDescent="0.2">
      <c r="A82" t="s">
        <v>154</v>
      </c>
      <c r="N82">
        <f t="shared" si="296"/>
        <v>0</v>
      </c>
      <c r="O82">
        <f t="shared" ca="1" si="297"/>
        <v>0</v>
      </c>
      <c r="P82">
        <f t="shared" si="298"/>
        <v>0</v>
      </c>
      <c r="Q82">
        <f t="shared" ca="1" si="299"/>
        <v>1</v>
      </c>
      <c r="R82">
        <f t="shared" ca="1" si="300"/>
        <v>0</v>
      </c>
      <c r="AG82">
        <f t="shared" ca="1" si="301"/>
        <v>0</v>
      </c>
      <c r="AH82">
        <f t="shared" si="302"/>
        <v>0</v>
      </c>
      <c r="AI82">
        <f t="shared" ca="1" si="303"/>
        <v>1</v>
      </c>
      <c r="AJ82">
        <f t="shared" si="304"/>
        <v>0</v>
      </c>
      <c r="AK82">
        <f t="shared" ca="1" si="305"/>
        <v>0</v>
      </c>
      <c r="AZ82">
        <f t="shared" si="306"/>
        <v>0</v>
      </c>
      <c r="BA82">
        <f t="shared" ca="1" si="307"/>
        <v>0</v>
      </c>
      <c r="BB82">
        <f t="shared" si="308"/>
        <v>0</v>
      </c>
      <c r="BC82">
        <f t="shared" ca="1" si="309"/>
        <v>1</v>
      </c>
      <c r="BD82">
        <f t="shared" ca="1" si="310"/>
        <v>0</v>
      </c>
      <c r="BS82">
        <f t="shared" ca="1" si="311"/>
        <v>0</v>
      </c>
      <c r="BT82">
        <f t="shared" si="312"/>
        <v>0</v>
      </c>
      <c r="BU82">
        <f t="shared" ca="1" si="313"/>
        <v>1</v>
      </c>
      <c r="BV82">
        <f t="shared" si="314"/>
        <v>0</v>
      </c>
      <c r="BW82">
        <f t="shared" ca="1" si="315"/>
        <v>0</v>
      </c>
      <c r="CL82">
        <f t="shared" si="316"/>
        <v>0</v>
      </c>
      <c r="CM82">
        <f t="shared" ca="1" si="317"/>
        <v>0</v>
      </c>
      <c r="CN82">
        <f t="shared" si="318"/>
        <v>0</v>
      </c>
      <c r="CO82">
        <f t="shared" ca="1" si="319"/>
        <v>1</v>
      </c>
      <c r="CP82">
        <f t="shared" ca="1" si="320"/>
        <v>0</v>
      </c>
      <c r="DE82">
        <f t="shared" ca="1" si="321"/>
        <v>0</v>
      </c>
      <c r="DF82">
        <f t="shared" si="322"/>
        <v>0</v>
      </c>
      <c r="DG82">
        <f t="shared" ca="1" si="323"/>
        <v>1</v>
      </c>
      <c r="DH82">
        <f t="shared" si="324"/>
        <v>0</v>
      </c>
      <c r="DI82">
        <f t="shared" ca="1" si="325"/>
        <v>0</v>
      </c>
      <c r="DX82">
        <f t="shared" si="326"/>
        <v>0</v>
      </c>
      <c r="DY82">
        <f t="shared" ca="1" si="327"/>
        <v>0</v>
      </c>
      <c r="DZ82">
        <f t="shared" si="328"/>
        <v>0</v>
      </c>
      <c r="EA82">
        <f t="shared" ca="1" si="329"/>
        <v>1</v>
      </c>
      <c r="EB82">
        <f t="shared" ca="1" si="330"/>
        <v>0</v>
      </c>
      <c r="EQ82">
        <f t="shared" ca="1" si="331"/>
        <v>0</v>
      </c>
      <c r="ER82">
        <f t="shared" si="332"/>
        <v>0</v>
      </c>
      <c r="ES82">
        <f t="shared" ca="1" si="333"/>
        <v>1</v>
      </c>
      <c r="ET82">
        <f t="shared" si="334"/>
        <v>0</v>
      </c>
      <c r="EU82">
        <f t="shared" ca="1" si="335"/>
        <v>0</v>
      </c>
      <c r="FJ82">
        <f t="shared" si="336"/>
        <v>0</v>
      </c>
      <c r="FK82">
        <f t="shared" ca="1" si="337"/>
        <v>0</v>
      </c>
      <c r="FL82">
        <f t="shared" si="338"/>
        <v>0</v>
      </c>
      <c r="FM82">
        <f t="shared" ca="1" si="339"/>
        <v>1</v>
      </c>
      <c r="FN82">
        <f t="shared" ca="1" si="340"/>
        <v>0</v>
      </c>
      <c r="FV82" s="97"/>
      <c r="GC82">
        <f t="shared" ca="1" si="341"/>
        <v>0</v>
      </c>
      <c r="GD82">
        <f t="shared" si="342"/>
        <v>0</v>
      </c>
      <c r="GE82">
        <f t="shared" ca="1" si="343"/>
        <v>1</v>
      </c>
      <c r="GF82">
        <f t="shared" si="344"/>
        <v>0</v>
      </c>
      <c r="GG82">
        <f t="shared" ca="1" si="345"/>
        <v>0</v>
      </c>
      <c r="GO82" s="97"/>
      <c r="GV82">
        <f t="shared" si="346"/>
        <v>0</v>
      </c>
      <c r="GW82">
        <f t="shared" ca="1" si="347"/>
        <v>0</v>
      </c>
      <c r="GX82">
        <f t="shared" si="348"/>
        <v>0</v>
      </c>
      <c r="GY82">
        <f t="shared" ca="1" si="349"/>
        <v>1</v>
      </c>
      <c r="GZ82">
        <f t="shared" ca="1" si="350"/>
        <v>0</v>
      </c>
      <c r="HH82" s="97"/>
      <c r="HO82">
        <f t="shared" ca="1" si="351"/>
        <v>0</v>
      </c>
      <c r="HP82">
        <f t="shared" si="352"/>
        <v>0</v>
      </c>
      <c r="HQ82">
        <f t="shared" ca="1" si="353"/>
        <v>1</v>
      </c>
      <c r="HR82">
        <f t="shared" si="354"/>
        <v>0</v>
      </c>
      <c r="HS82">
        <f t="shared" ca="1" si="355"/>
        <v>0</v>
      </c>
      <c r="IA82" s="97"/>
      <c r="IH82">
        <f t="shared" si="356"/>
        <v>0</v>
      </c>
      <c r="II82">
        <f t="shared" ca="1" si="357"/>
        <v>0</v>
      </c>
      <c r="IJ82">
        <f t="shared" si="358"/>
        <v>0</v>
      </c>
      <c r="IK82">
        <f t="shared" ca="1" si="359"/>
        <v>1</v>
      </c>
      <c r="IL82">
        <f t="shared" ca="1" si="360"/>
        <v>0</v>
      </c>
      <c r="IT82" s="97"/>
      <c r="JA82">
        <f t="shared" ca="1" si="361"/>
        <v>0</v>
      </c>
      <c r="JB82">
        <f t="shared" si="362"/>
        <v>0</v>
      </c>
      <c r="JC82">
        <f t="shared" ca="1" si="363"/>
        <v>1</v>
      </c>
      <c r="JD82">
        <f t="shared" si="364"/>
        <v>0</v>
      </c>
      <c r="JE82">
        <f t="shared" ca="1" si="365"/>
        <v>0</v>
      </c>
      <c r="JM82" s="97"/>
      <c r="JT82">
        <f t="shared" si="366"/>
        <v>0</v>
      </c>
      <c r="JU82">
        <f t="shared" ca="1" si="367"/>
        <v>0</v>
      </c>
      <c r="JV82">
        <f t="shared" si="368"/>
        <v>0</v>
      </c>
      <c r="JW82">
        <f t="shared" ca="1" si="369"/>
        <v>1</v>
      </c>
      <c r="JX82">
        <f t="shared" ca="1" si="370"/>
        <v>0</v>
      </c>
      <c r="KF82" s="97"/>
      <c r="KM82">
        <f t="shared" ca="1" si="371"/>
        <v>0</v>
      </c>
      <c r="KN82">
        <f t="shared" si="372"/>
        <v>0</v>
      </c>
      <c r="KO82">
        <f t="shared" ca="1" si="373"/>
        <v>1</v>
      </c>
      <c r="KP82">
        <f t="shared" si="374"/>
        <v>0</v>
      </c>
      <c r="KQ82">
        <f t="shared" ca="1" si="375"/>
        <v>0</v>
      </c>
      <c r="KY82" s="97"/>
      <c r="LF82">
        <f t="shared" si="376"/>
        <v>0</v>
      </c>
      <c r="LG82">
        <f t="shared" ca="1" si="377"/>
        <v>0</v>
      </c>
      <c r="LH82">
        <f t="shared" si="378"/>
        <v>0</v>
      </c>
      <c r="LI82">
        <f t="shared" ca="1" si="379"/>
        <v>1</v>
      </c>
      <c r="LJ82">
        <f t="shared" ca="1" si="380"/>
        <v>0</v>
      </c>
      <c r="LR82" s="97"/>
      <c r="LY82">
        <f t="shared" ca="1" si="381"/>
        <v>0</v>
      </c>
      <c r="LZ82">
        <f t="shared" si="382"/>
        <v>0</v>
      </c>
      <c r="MA82">
        <f t="shared" ca="1" si="383"/>
        <v>1</v>
      </c>
      <c r="MB82">
        <f t="shared" si="384"/>
        <v>0</v>
      </c>
      <c r="MC82">
        <f t="shared" ca="1" si="385"/>
        <v>0</v>
      </c>
    </row>
    <row r="83" spans="1:341" x14ac:dyDescent="0.2">
      <c r="A83" t="s">
        <v>155</v>
      </c>
      <c r="N83">
        <f t="shared" ca="1" si="296"/>
        <v>0</v>
      </c>
      <c r="O83">
        <f t="shared" si="297"/>
        <v>0</v>
      </c>
      <c r="P83">
        <f t="shared" ca="1" si="298"/>
        <v>1</v>
      </c>
      <c r="Q83">
        <f t="shared" si="299"/>
        <v>0</v>
      </c>
      <c r="R83">
        <f t="shared" ca="1" si="300"/>
        <v>0</v>
      </c>
      <c r="AG83">
        <f t="shared" si="301"/>
        <v>0</v>
      </c>
      <c r="AH83">
        <f t="shared" ca="1" si="302"/>
        <v>0</v>
      </c>
      <c r="AI83">
        <f t="shared" si="303"/>
        <v>0</v>
      </c>
      <c r="AJ83">
        <f t="shared" ca="1" si="304"/>
        <v>1</v>
      </c>
      <c r="AK83">
        <f t="shared" ca="1" si="305"/>
        <v>0</v>
      </c>
      <c r="AZ83">
        <f t="shared" ca="1" si="306"/>
        <v>0</v>
      </c>
      <c r="BA83">
        <f t="shared" si="307"/>
        <v>0</v>
      </c>
      <c r="BB83">
        <f t="shared" ca="1" si="308"/>
        <v>1</v>
      </c>
      <c r="BC83">
        <f t="shared" si="309"/>
        <v>0</v>
      </c>
      <c r="BD83">
        <f t="shared" ca="1" si="310"/>
        <v>0</v>
      </c>
      <c r="BS83">
        <f t="shared" si="311"/>
        <v>0</v>
      </c>
      <c r="BT83">
        <f t="shared" ca="1" si="312"/>
        <v>0</v>
      </c>
      <c r="BU83">
        <f t="shared" si="313"/>
        <v>0</v>
      </c>
      <c r="BV83">
        <f t="shared" ca="1" si="314"/>
        <v>1</v>
      </c>
      <c r="BW83">
        <f t="shared" ca="1" si="315"/>
        <v>0</v>
      </c>
      <c r="CL83">
        <f t="shared" si="316"/>
        <v>0</v>
      </c>
      <c r="CM83">
        <f t="shared" ca="1" si="317"/>
        <v>0</v>
      </c>
      <c r="CN83">
        <f t="shared" si="318"/>
        <v>0</v>
      </c>
      <c r="CO83">
        <f t="shared" ca="1" si="319"/>
        <v>1</v>
      </c>
      <c r="CP83">
        <f t="shared" ca="1" si="320"/>
        <v>0</v>
      </c>
      <c r="DE83">
        <f t="shared" si="321"/>
        <v>0</v>
      </c>
      <c r="DF83">
        <f t="shared" ca="1" si="322"/>
        <v>0</v>
      </c>
      <c r="DG83">
        <f t="shared" si="323"/>
        <v>0</v>
      </c>
      <c r="DH83">
        <f t="shared" ca="1" si="324"/>
        <v>1</v>
      </c>
      <c r="DI83">
        <f t="shared" ca="1" si="325"/>
        <v>0</v>
      </c>
      <c r="DX83">
        <f t="shared" ca="1" si="326"/>
        <v>0</v>
      </c>
      <c r="DY83">
        <f t="shared" si="327"/>
        <v>0</v>
      </c>
      <c r="DZ83">
        <f t="shared" ca="1" si="328"/>
        <v>1</v>
      </c>
      <c r="EA83">
        <f t="shared" si="329"/>
        <v>0</v>
      </c>
      <c r="EB83">
        <f t="shared" ca="1" si="330"/>
        <v>0</v>
      </c>
      <c r="EQ83">
        <f t="shared" si="331"/>
        <v>0</v>
      </c>
      <c r="ER83">
        <f t="shared" ca="1" si="332"/>
        <v>0</v>
      </c>
      <c r="ES83">
        <f t="shared" si="333"/>
        <v>0</v>
      </c>
      <c r="ET83">
        <f t="shared" ca="1" si="334"/>
        <v>1</v>
      </c>
      <c r="EU83">
        <f t="shared" ca="1" si="335"/>
        <v>0</v>
      </c>
      <c r="FJ83">
        <f t="shared" ca="1" si="336"/>
        <v>0</v>
      </c>
      <c r="FK83">
        <f t="shared" si="337"/>
        <v>0</v>
      </c>
      <c r="FL83">
        <f t="shared" ca="1" si="338"/>
        <v>1</v>
      </c>
      <c r="FM83">
        <f t="shared" si="339"/>
        <v>0</v>
      </c>
      <c r="FN83">
        <f t="shared" ca="1" si="340"/>
        <v>0</v>
      </c>
      <c r="FV83" s="97"/>
      <c r="GC83">
        <f t="shared" si="341"/>
        <v>0</v>
      </c>
      <c r="GD83">
        <f t="shared" ca="1" si="342"/>
        <v>0</v>
      </c>
      <c r="GE83">
        <f t="shared" si="343"/>
        <v>0</v>
      </c>
      <c r="GF83">
        <f t="shared" ca="1" si="344"/>
        <v>1</v>
      </c>
      <c r="GG83">
        <f t="shared" ca="1" si="345"/>
        <v>0</v>
      </c>
      <c r="GO83" s="97"/>
      <c r="GV83">
        <f t="shared" ca="1" si="346"/>
        <v>0</v>
      </c>
      <c r="GW83">
        <f t="shared" si="347"/>
        <v>0</v>
      </c>
      <c r="GX83">
        <f t="shared" ca="1" si="348"/>
        <v>1</v>
      </c>
      <c r="GY83">
        <f t="shared" si="349"/>
        <v>0</v>
      </c>
      <c r="GZ83">
        <f t="shared" ca="1" si="350"/>
        <v>0</v>
      </c>
      <c r="HH83" s="97"/>
      <c r="HO83">
        <f t="shared" si="351"/>
        <v>0</v>
      </c>
      <c r="HP83">
        <f t="shared" ca="1" si="352"/>
        <v>0</v>
      </c>
      <c r="HQ83">
        <f t="shared" si="353"/>
        <v>0</v>
      </c>
      <c r="HR83">
        <f t="shared" ca="1" si="354"/>
        <v>1</v>
      </c>
      <c r="HS83">
        <f t="shared" ca="1" si="355"/>
        <v>0</v>
      </c>
      <c r="IA83" s="97"/>
      <c r="IH83">
        <f t="shared" ca="1" si="356"/>
        <v>0</v>
      </c>
      <c r="II83">
        <f t="shared" si="357"/>
        <v>0</v>
      </c>
      <c r="IJ83">
        <f t="shared" ca="1" si="358"/>
        <v>1</v>
      </c>
      <c r="IK83">
        <f t="shared" si="359"/>
        <v>0</v>
      </c>
      <c r="IL83">
        <f t="shared" ca="1" si="360"/>
        <v>0</v>
      </c>
      <c r="IT83" s="97"/>
      <c r="JA83">
        <f t="shared" si="361"/>
        <v>0</v>
      </c>
      <c r="JB83">
        <f t="shared" ca="1" si="362"/>
        <v>0</v>
      </c>
      <c r="JC83">
        <f t="shared" si="363"/>
        <v>0</v>
      </c>
      <c r="JD83">
        <f t="shared" ca="1" si="364"/>
        <v>1</v>
      </c>
      <c r="JE83">
        <f t="shared" ca="1" si="365"/>
        <v>0</v>
      </c>
      <c r="JM83" s="97"/>
      <c r="JT83">
        <f t="shared" ca="1" si="366"/>
        <v>0</v>
      </c>
      <c r="JU83">
        <f t="shared" si="367"/>
        <v>0</v>
      </c>
      <c r="JV83">
        <f t="shared" ca="1" si="368"/>
        <v>1</v>
      </c>
      <c r="JW83">
        <f t="shared" si="369"/>
        <v>0</v>
      </c>
      <c r="JX83">
        <f t="shared" ca="1" si="370"/>
        <v>0</v>
      </c>
      <c r="KF83" s="97"/>
      <c r="KM83">
        <f t="shared" si="371"/>
        <v>0</v>
      </c>
      <c r="KN83">
        <f t="shared" ca="1" si="372"/>
        <v>0</v>
      </c>
      <c r="KO83">
        <f t="shared" si="373"/>
        <v>0</v>
      </c>
      <c r="KP83">
        <f t="shared" ca="1" si="374"/>
        <v>1</v>
      </c>
      <c r="KQ83">
        <f t="shared" ca="1" si="375"/>
        <v>0</v>
      </c>
      <c r="KY83" s="97"/>
      <c r="LF83">
        <f t="shared" ca="1" si="376"/>
        <v>0</v>
      </c>
      <c r="LG83">
        <f t="shared" si="377"/>
        <v>0</v>
      </c>
      <c r="LH83">
        <f t="shared" ca="1" si="378"/>
        <v>1</v>
      </c>
      <c r="LI83">
        <f t="shared" si="379"/>
        <v>0</v>
      </c>
      <c r="LJ83">
        <f t="shared" ca="1" si="380"/>
        <v>0</v>
      </c>
      <c r="LR83" s="97"/>
      <c r="LY83">
        <f t="shared" ca="1" si="381"/>
        <v>0</v>
      </c>
      <c r="LZ83">
        <f t="shared" si="382"/>
        <v>0</v>
      </c>
      <c r="MA83">
        <f t="shared" ca="1" si="383"/>
        <v>1</v>
      </c>
      <c r="MB83">
        <f t="shared" si="384"/>
        <v>0</v>
      </c>
      <c r="MC83">
        <f t="shared" ca="1" si="385"/>
        <v>0</v>
      </c>
    </row>
    <row r="84" spans="1:341" x14ac:dyDescent="0.2">
      <c r="A84" t="s">
        <v>156</v>
      </c>
      <c r="N84">
        <f t="shared" si="296"/>
        <v>0</v>
      </c>
      <c r="O84">
        <f t="shared" ca="1" si="297"/>
        <v>0</v>
      </c>
      <c r="P84">
        <f t="shared" si="298"/>
        <v>0</v>
      </c>
      <c r="Q84">
        <f t="shared" ca="1" si="299"/>
        <v>1</v>
      </c>
      <c r="R84">
        <f t="shared" ca="1" si="300"/>
        <v>0</v>
      </c>
      <c r="AG84">
        <f t="shared" ca="1" si="301"/>
        <v>0</v>
      </c>
      <c r="AH84">
        <f t="shared" si="302"/>
        <v>0</v>
      </c>
      <c r="AI84">
        <f t="shared" ca="1" si="303"/>
        <v>1</v>
      </c>
      <c r="AJ84">
        <f t="shared" si="304"/>
        <v>0</v>
      </c>
      <c r="AK84">
        <f t="shared" ca="1" si="305"/>
        <v>0</v>
      </c>
      <c r="AZ84">
        <f t="shared" ca="1" si="306"/>
        <v>0</v>
      </c>
      <c r="BA84">
        <f t="shared" si="307"/>
        <v>0</v>
      </c>
      <c r="BB84">
        <f t="shared" ca="1" si="308"/>
        <v>1</v>
      </c>
      <c r="BC84">
        <f t="shared" si="309"/>
        <v>0</v>
      </c>
      <c r="BD84">
        <f t="shared" ca="1" si="310"/>
        <v>0</v>
      </c>
      <c r="BS84">
        <f t="shared" ca="1" si="311"/>
        <v>0</v>
      </c>
      <c r="BT84">
        <f t="shared" si="312"/>
        <v>0</v>
      </c>
      <c r="BU84">
        <f t="shared" ca="1" si="313"/>
        <v>1</v>
      </c>
      <c r="BV84">
        <f t="shared" si="314"/>
        <v>0</v>
      </c>
      <c r="BW84">
        <f t="shared" ca="1" si="315"/>
        <v>0</v>
      </c>
      <c r="CL84">
        <f t="shared" ca="1" si="316"/>
        <v>0</v>
      </c>
      <c r="CM84">
        <f t="shared" si="317"/>
        <v>0</v>
      </c>
      <c r="CN84">
        <f t="shared" ca="1" si="318"/>
        <v>1</v>
      </c>
      <c r="CO84">
        <f t="shared" si="319"/>
        <v>0</v>
      </c>
      <c r="CP84">
        <f t="shared" ca="1" si="320"/>
        <v>0</v>
      </c>
      <c r="DE84">
        <f t="shared" ca="1" si="321"/>
        <v>0</v>
      </c>
      <c r="DF84">
        <f t="shared" si="322"/>
        <v>0</v>
      </c>
      <c r="DG84">
        <f t="shared" ca="1" si="323"/>
        <v>1</v>
      </c>
      <c r="DH84">
        <f t="shared" si="324"/>
        <v>0</v>
      </c>
      <c r="DI84">
        <f t="shared" ca="1" si="325"/>
        <v>0</v>
      </c>
      <c r="DX84">
        <f t="shared" si="326"/>
        <v>0</v>
      </c>
      <c r="DY84">
        <f t="shared" ca="1" si="327"/>
        <v>0</v>
      </c>
      <c r="DZ84">
        <f t="shared" si="328"/>
        <v>0</v>
      </c>
      <c r="EA84">
        <f t="shared" ca="1" si="329"/>
        <v>1</v>
      </c>
      <c r="EB84">
        <f t="shared" ca="1" si="330"/>
        <v>0</v>
      </c>
      <c r="EQ84">
        <f t="shared" ca="1" si="331"/>
        <v>0</v>
      </c>
      <c r="ER84">
        <f t="shared" si="332"/>
        <v>0</v>
      </c>
      <c r="ES84">
        <f t="shared" ca="1" si="333"/>
        <v>1</v>
      </c>
      <c r="ET84">
        <f t="shared" si="334"/>
        <v>0</v>
      </c>
      <c r="EU84">
        <f t="shared" ca="1" si="335"/>
        <v>0</v>
      </c>
      <c r="FJ84">
        <f t="shared" si="336"/>
        <v>0</v>
      </c>
      <c r="FK84">
        <f t="shared" ca="1" si="337"/>
        <v>0</v>
      </c>
      <c r="FL84">
        <f t="shared" si="338"/>
        <v>0</v>
      </c>
      <c r="FM84">
        <f t="shared" ca="1" si="339"/>
        <v>1</v>
      </c>
      <c r="FN84">
        <f t="shared" ca="1" si="340"/>
        <v>0</v>
      </c>
      <c r="FV84" s="97"/>
      <c r="GC84">
        <f t="shared" si="341"/>
        <v>0</v>
      </c>
      <c r="GD84">
        <f t="shared" ca="1" si="342"/>
        <v>0</v>
      </c>
      <c r="GE84">
        <f t="shared" si="343"/>
        <v>0</v>
      </c>
      <c r="GF84">
        <f t="shared" ca="1" si="344"/>
        <v>1</v>
      </c>
      <c r="GG84">
        <f t="shared" ca="1" si="345"/>
        <v>0</v>
      </c>
      <c r="GO84" s="97"/>
      <c r="GV84">
        <f t="shared" si="346"/>
        <v>0</v>
      </c>
      <c r="GW84">
        <f t="shared" ca="1" si="347"/>
        <v>0</v>
      </c>
      <c r="GX84">
        <f t="shared" si="348"/>
        <v>0</v>
      </c>
      <c r="GY84">
        <f t="shared" ca="1" si="349"/>
        <v>1</v>
      </c>
      <c r="GZ84">
        <f t="shared" ca="1" si="350"/>
        <v>0</v>
      </c>
      <c r="HH84" s="97"/>
      <c r="HO84">
        <f t="shared" ca="1" si="351"/>
        <v>0</v>
      </c>
      <c r="HP84">
        <f t="shared" si="352"/>
        <v>0</v>
      </c>
      <c r="HQ84">
        <f t="shared" ca="1" si="353"/>
        <v>1</v>
      </c>
      <c r="HR84">
        <f t="shared" si="354"/>
        <v>0</v>
      </c>
      <c r="HS84">
        <f t="shared" ca="1" si="355"/>
        <v>0</v>
      </c>
      <c r="IA84" s="97"/>
      <c r="IH84">
        <f t="shared" si="356"/>
        <v>0</v>
      </c>
      <c r="II84">
        <f t="shared" ca="1" si="357"/>
        <v>0</v>
      </c>
      <c r="IJ84">
        <f t="shared" si="358"/>
        <v>0</v>
      </c>
      <c r="IK84">
        <f t="shared" ca="1" si="359"/>
        <v>1</v>
      </c>
      <c r="IL84">
        <f t="shared" ca="1" si="360"/>
        <v>0</v>
      </c>
      <c r="IT84" s="97"/>
      <c r="JA84">
        <f t="shared" ca="1" si="361"/>
        <v>0</v>
      </c>
      <c r="JB84">
        <f t="shared" si="362"/>
        <v>0</v>
      </c>
      <c r="JC84">
        <f t="shared" ca="1" si="363"/>
        <v>1</v>
      </c>
      <c r="JD84">
        <f t="shared" si="364"/>
        <v>0</v>
      </c>
      <c r="JE84">
        <f t="shared" ca="1" si="365"/>
        <v>0</v>
      </c>
      <c r="JM84" s="97"/>
      <c r="JT84">
        <f t="shared" si="366"/>
        <v>0</v>
      </c>
      <c r="JU84">
        <f t="shared" ca="1" si="367"/>
        <v>0</v>
      </c>
      <c r="JV84">
        <f t="shared" si="368"/>
        <v>0</v>
      </c>
      <c r="JW84">
        <f t="shared" ca="1" si="369"/>
        <v>1</v>
      </c>
      <c r="JX84">
        <f t="shared" ca="1" si="370"/>
        <v>0</v>
      </c>
      <c r="KF84" s="97"/>
      <c r="KM84">
        <f t="shared" ca="1" si="371"/>
        <v>0</v>
      </c>
      <c r="KN84">
        <f t="shared" si="372"/>
        <v>0</v>
      </c>
      <c r="KO84">
        <f t="shared" ca="1" si="373"/>
        <v>1</v>
      </c>
      <c r="KP84">
        <f t="shared" si="374"/>
        <v>0</v>
      </c>
      <c r="KQ84">
        <f t="shared" ca="1" si="375"/>
        <v>0</v>
      </c>
      <c r="KY84" s="97"/>
      <c r="LF84">
        <f t="shared" si="376"/>
        <v>0</v>
      </c>
      <c r="LG84">
        <f t="shared" ca="1" si="377"/>
        <v>0</v>
      </c>
      <c r="LH84">
        <f t="shared" si="378"/>
        <v>0</v>
      </c>
      <c r="LI84">
        <f t="shared" ca="1" si="379"/>
        <v>1</v>
      </c>
      <c r="LJ84">
        <f t="shared" ca="1" si="380"/>
        <v>0</v>
      </c>
      <c r="LR84" s="97"/>
      <c r="LY84">
        <f t="shared" si="381"/>
        <v>0</v>
      </c>
      <c r="LZ84">
        <f t="shared" ca="1" si="382"/>
        <v>0</v>
      </c>
      <c r="MA84">
        <f t="shared" si="383"/>
        <v>0</v>
      </c>
      <c r="MB84">
        <f t="shared" ca="1" si="384"/>
        <v>1</v>
      </c>
      <c r="MC84">
        <f t="shared" ca="1" si="385"/>
        <v>0</v>
      </c>
    </row>
    <row r="85" spans="1:341" x14ac:dyDescent="0.2">
      <c r="A85" t="s">
        <v>157</v>
      </c>
      <c r="N85">
        <f t="shared" ca="1" si="296"/>
        <v>0</v>
      </c>
      <c r="O85">
        <f t="shared" si="297"/>
        <v>0</v>
      </c>
      <c r="P85">
        <f t="shared" ca="1" si="298"/>
        <v>1</v>
      </c>
      <c r="Q85">
        <f t="shared" si="299"/>
        <v>0</v>
      </c>
      <c r="R85">
        <f t="shared" ca="1" si="300"/>
        <v>0</v>
      </c>
      <c r="AG85">
        <f t="shared" si="301"/>
        <v>0</v>
      </c>
      <c r="AH85">
        <f t="shared" ca="1" si="302"/>
        <v>0</v>
      </c>
      <c r="AI85">
        <f t="shared" si="303"/>
        <v>0</v>
      </c>
      <c r="AJ85">
        <f t="shared" ca="1" si="304"/>
        <v>1</v>
      </c>
      <c r="AK85">
        <f t="shared" ca="1" si="305"/>
        <v>0</v>
      </c>
      <c r="AZ85">
        <f t="shared" si="306"/>
        <v>0</v>
      </c>
      <c r="BA85">
        <f t="shared" ca="1" si="307"/>
        <v>0</v>
      </c>
      <c r="BB85">
        <f t="shared" si="308"/>
        <v>0</v>
      </c>
      <c r="BC85">
        <f t="shared" ca="1" si="309"/>
        <v>1</v>
      </c>
      <c r="BD85">
        <f t="shared" ca="1" si="310"/>
        <v>0</v>
      </c>
      <c r="BS85">
        <f t="shared" si="311"/>
        <v>0</v>
      </c>
      <c r="BT85">
        <f t="shared" ca="1" si="312"/>
        <v>0</v>
      </c>
      <c r="BU85">
        <f t="shared" si="313"/>
        <v>0</v>
      </c>
      <c r="BV85">
        <f t="shared" ca="1" si="314"/>
        <v>1</v>
      </c>
      <c r="BW85">
        <f t="shared" ca="1" si="315"/>
        <v>0</v>
      </c>
      <c r="CL85">
        <f t="shared" si="316"/>
        <v>0</v>
      </c>
      <c r="CM85">
        <f t="shared" ca="1" si="317"/>
        <v>0</v>
      </c>
      <c r="CN85">
        <f t="shared" si="318"/>
        <v>0</v>
      </c>
      <c r="CO85">
        <f t="shared" ca="1" si="319"/>
        <v>1</v>
      </c>
      <c r="CP85">
        <f t="shared" ca="1" si="320"/>
        <v>0</v>
      </c>
      <c r="DE85">
        <f t="shared" si="321"/>
        <v>0</v>
      </c>
      <c r="DF85">
        <f t="shared" ca="1" si="322"/>
        <v>0</v>
      </c>
      <c r="DG85">
        <f t="shared" si="323"/>
        <v>0</v>
      </c>
      <c r="DH85">
        <f t="shared" ca="1" si="324"/>
        <v>1</v>
      </c>
      <c r="DI85">
        <f t="shared" ca="1" si="325"/>
        <v>0</v>
      </c>
      <c r="DX85">
        <f t="shared" ca="1" si="326"/>
        <v>0</v>
      </c>
      <c r="DY85">
        <f t="shared" si="327"/>
        <v>0</v>
      </c>
      <c r="DZ85">
        <f t="shared" ca="1" si="328"/>
        <v>1</v>
      </c>
      <c r="EA85">
        <f t="shared" si="329"/>
        <v>0</v>
      </c>
      <c r="EB85">
        <f t="shared" ca="1" si="330"/>
        <v>0</v>
      </c>
      <c r="EQ85">
        <f t="shared" si="331"/>
        <v>0</v>
      </c>
      <c r="ER85">
        <f t="shared" ca="1" si="332"/>
        <v>0</v>
      </c>
      <c r="ES85">
        <f t="shared" si="333"/>
        <v>0</v>
      </c>
      <c r="ET85">
        <f t="shared" ca="1" si="334"/>
        <v>1</v>
      </c>
      <c r="EU85">
        <f t="shared" ca="1" si="335"/>
        <v>0</v>
      </c>
      <c r="FJ85">
        <f t="shared" ca="1" si="336"/>
        <v>0</v>
      </c>
      <c r="FK85">
        <f t="shared" si="337"/>
        <v>0</v>
      </c>
      <c r="FL85">
        <f t="shared" ca="1" si="338"/>
        <v>1</v>
      </c>
      <c r="FM85">
        <f t="shared" si="339"/>
        <v>0</v>
      </c>
      <c r="FN85">
        <f t="shared" ca="1" si="340"/>
        <v>0</v>
      </c>
      <c r="FV85" s="97"/>
      <c r="GC85">
        <f t="shared" ca="1" si="341"/>
        <v>0</v>
      </c>
      <c r="GD85">
        <f t="shared" si="342"/>
        <v>0</v>
      </c>
      <c r="GE85">
        <f t="shared" ca="1" si="343"/>
        <v>1</v>
      </c>
      <c r="GF85">
        <f t="shared" si="344"/>
        <v>0</v>
      </c>
      <c r="GG85">
        <f t="shared" ca="1" si="345"/>
        <v>0</v>
      </c>
      <c r="GO85" s="97"/>
      <c r="GV85">
        <f t="shared" ca="1" si="346"/>
        <v>0</v>
      </c>
      <c r="GW85">
        <f t="shared" si="347"/>
        <v>0</v>
      </c>
      <c r="GX85">
        <f t="shared" ca="1" si="348"/>
        <v>1</v>
      </c>
      <c r="GY85">
        <f t="shared" si="349"/>
        <v>0</v>
      </c>
      <c r="GZ85">
        <f t="shared" ca="1" si="350"/>
        <v>0</v>
      </c>
      <c r="HH85" s="97"/>
      <c r="HO85">
        <f t="shared" si="351"/>
        <v>0</v>
      </c>
      <c r="HP85">
        <f t="shared" ca="1" si="352"/>
        <v>0</v>
      </c>
      <c r="HQ85">
        <f t="shared" si="353"/>
        <v>0</v>
      </c>
      <c r="HR85">
        <f t="shared" ca="1" si="354"/>
        <v>1</v>
      </c>
      <c r="HS85">
        <f t="shared" ca="1" si="355"/>
        <v>0</v>
      </c>
      <c r="IA85" s="97"/>
      <c r="IH85">
        <f t="shared" ca="1" si="356"/>
        <v>0</v>
      </c>
      <c r="II85">
        <f t="shared" si="357"/>
        <v>0</v>
      </c>
      <c r="IJ85">
        <f t="shared" ca="1" si="358"/>
        <v>1</v>
      </c>
      <c r="IK85">
        <f t="shared" si="359"/>
        <v>0</v>
      </c>
      <c r="IL85">
        <f t="shared" ca="1" si="360"/>
        <v>0</v>
      </c>
      <c r="IT85" s="97"/>
      <c r="JA85">
        <f t="shared" si="361"/>
        <v>0</v>
      </c>
      <c r="JB85">
        <f t="shared" ca="1" si="362"/>
        <v>0</v>
      </c>
      <c r="JC85">
        <f t="shared" si="363"/>
        <v>0</v>
      </c>
      <c r="JD85">
        <f t="shared" ca="1" si="364"/>
        <v>1</v>
      </c>
      <c r="JE85">
        <f t="shared" ca="1" si="365"/>
        <v>0</v>
      </c>
      <c r="JM85" s="97"/>
      <c r="JT85">
        <f t="shared" ca="1" si="366"/>
        <v>0</v>
      </c>
      <c r="JU85">
        <f t="shared" si="367"/>
        <v>0</v>
      </c>
      <c r="JV85">
        <f t="shared" ca="1" si="368"/>
        <v>1</v>
      </c>
      <c r="JW85">
        <f t="shared" si="369"/>
        <v>0</v>
      </c>
      <c r="JX85">
        <f t="shared" ca="1" si="370"/>
        <v>0</v>
      </c>
      <c r="KF85" s="97"/>
      <c r="KM85">
        <f t="shared" si="371"/>
        <v>0</v>
      </c>
      <c r="KN85">
        <f t="shared" ca="1" si="372"/>
        <v>0</v>
      </c>
      <c r="KO85">
        <f t="shared" si="373"/>
        <v>0</v>
      </c>
      <c r="KP85">
        <f t="shared" ca="1" si="374"/>
        <v>1</v>
      </c>
      <c r="KQ85">
        <f t="shared" ca="1" si="375"/>
        <v>0</v>
      </c>
      <c r="KY85" s="97"/>
      <c r="LF85">
        <f t="shared" ca="1" si="376"/>
        <v>0</v>
      </c>
      <c r="LG85">
        <f t="shared" si="377"/>
        <v>0</v>
      </c>
      <c r="LH85">
        <f t="shared" ca="1" si="378"/>
        <v>1</v>
      </c>
      <c r="LI85">
        <f t="shared" si="379"/>
        <v>0</v>
      </c>
      <c r="LJ85">
        <f t="shared" ca="1" si="380"/>
        <v>0</v>
      </c>
      <c r="LR85" s="97"/>
      <c r="LY85">
        <f t="shared" ca="1" si="381"/>
        <v>0</v>
      </c>
      <c r="LZ85">
        <f t="shared" si="382"/>
        <v>0</v>
      </c>
      <c r="MA85">
        <f t="shared" ca="1" si="383"/>
        <v>1</v>
      </c>
      <c r="MB85">
        <f t="shared" si="384"/>
        <v>0</v>
      </c>
      <c r="MC85">
        <f t="shared" ca="1" si="385"/>
        <v>0</v>
      </c>
    </row>
    <row r="86" spans="1:341" x14ac:dyDescent="0.2">
      <c r="A86" t="s">
        <v>158</v>
      </c>
      <c r="N86">
        <f t="shared" si="296"/>
        <v>0</v>
      </c>
      <c r="O86">
        <f t="shared" ca="1" si="297"/>
        <v>0</v>
      </c>
      <c r="P86">
        <f t="shared" si="298"/>
        <v>0</v>
      </c>
      <c r="Q86">
        <f t="shared" ca="1" si="299"/>
        <v>1</v>
      </c>
      <c r="R86">
        <f t="shared" ca="1" si="300"/>
        <v>0</v>
      </c>
      <c r="AG86">
        <f t="shared" si="301"/>
        <v>0</v>
      </c>
      <c r="AH86">
        <f t="shared" ca="1" si="302"/>
        <v>0</v>
      </c>
      <c r="AI86">
        <f t="shared" si="303"/>
        <v>0</v>
      </c>
      <c r="AJ86">
        <f t="shared" ca="1" si="304"/>
        <v>1</v>
      </c>
      <c r="AK86">
        <f t="shared" ca="1" si="305"/>
        <v>0</v>
      </c>
      <c r="AZ86">
        <f t="shared" ca="1" si="306"/>
        <v>0</v>
      </c>
      <c r="BA86">
        <f t="shared" si="307"/>
        <v>0</v>
      </c>
      <c r="BB86">
        <f t="shared" ca="1" si="308"/>
        <v>1</v>
      </c>
      <c r="BC86">
        <f t="shared" si="309"/>
        <v>0</v>
      </c>
      <c r="BD86">
        <f t="shared" ca="1" si="310"/>
        <v>0</v>
      </c>
      <c r="BS86">
        <f t="shared" ca="1" si="311"/>
        <v>0</v>
      </c>
      <c r="BT86">
        <f t="shared" si="312"/>
        <v>0</v>
      </c>
      <c r="BU86">
        <f t="shared" ca="1" si="313"/>
        <v>1</v>
      </c>
      <c r="BV86">
        <f t="shared" si="314"/>
        <v>0</v>
      </c>
      <c r="BW86">
        <f t="shared" ca="1" si="315"/>
        <v>0</v>
      </c>
      <c r="CL86">
        <f t="shared" ca="1" si="316"/>
        <v>0</v>
      </c>
      <c r="CM86">
        <f t="shared" si="317"/>
        <v>0</v>
      </c>
      <c r="CN86">
        <f t="shared" ca="1" si="318"/>
        <v>1</v>
      </c>
      <c r="CO86">
        <f t="shared" si="319"/>
        <v>0</v>
      </c>
      <c r="CP86">
        <f t="shared" ca="1" si="320"/>
        <v>0</v>
      </c>
      <c r="DE86">
        <f t="shared" ca="1" si="321"/>
        <v>0</v>
      </c>
      <c r="DF86">
        <f t="shared" si="322"/>
        <v>0</v>
      </c>
      <c r="DG86">
        <f t="shared" ca="1" si="323"/>
        <v>1</v>
      </c>
      <c r="DH86">
        <f t="shared" si="324"/>
        <v>0</v>
      </c>
      <c r="DI86">
        <f t="shared" ca="1" si="325"/>
        <v>0</v>
      </c>
      <c r="DX86">
        <f t="shared" si="326"/>
        <v>0</v>
      </c>
      <c r="DY86">
        <f t="shared" ca="1" si="327"/>
        <v>0</v>
      </c>
      <c r="DZ86">
        <f t="shared" si="328"/>
        <v>0</v>
      </c>
      <c r="EA86">
        <f t="shared" ca="1" si="329"/>
        <v>1</v>
      </c>
      <c r="EB86">
        <f t="shared" ca="1" si="330"/>
        <v>0</v>
      </c>
      <c r="EQ86">
        <f t="shared" ca="1" si="331"/>
        <v>0</v>
      </c>
      <c r="ER86">
        <f t="shared" si="332"/>
        <v>0</v>
      </c>
      <c r="ES86">
        <f t="shared" ca="1" si="333"/>
        <v>1</v>
      </c>
      <c r="ET86">
        <f t="shared" si="334"/>
        <v>0</v>
      </c>
      <c r="EU86">
        <f t="shared" ca="1" si="335"/>
        <v>0</v>
      </c>
      <c r="FJ86">
        <f t="shared" si="336"/>
        <v>0</v>
      </c>
      <c r="FK86">
        <f t="shared" ca="1" si="337"/>
        <v>0</v>
      </c>
      <c r="FL86">
        <f t="shared" si="338"/>
        <v>0</v>
      </c>
      <c r="FM86">
        <f t="shared" ca="1" si="339"/>
        <v>1</v>
      </c>
      <c r="FN86">
        <f t="shared" ca="1" si="340"/>
        <v>0</v>
      </c>
      <c r="FV86" s="97"/>
      <c r="GC86">
        <f t="shared" si="341"/>
        <v>0</v>
      </c>
      <c r="GD86">
        <f t="shared" ca="1" si="342"/>
        <v>0</v>
      </c>
      <c r="GE86">
        <f t="shared" si="343"/>
        <v>0</v>
      </c>
      <c r="GF86">
        <f t="shared" ca="1" si="344"/>
        <v>1</v>
      </c>
      <c r="GG86">
        <f t="shared" ca="1" si="345"/>
        <v>0</v>
      </c>
      <c r="GO86" s="97"/>
      <c r="GV86">
        <f t="shared" ca="1" si="346"/>
        <v>0</v>
      </c>
      <c r="GW86">
        <f t="shared" si="347"/>
        <v>0</v>
      </c>
      <c r="GX86">
        <f t="shared" ca="1" si="348"/>
        <v>1</v>
      </c>
      <c r="GY86">
        <f t="shared" si="349"/>
        <v>0</v>
      </c>
      <c r="GZ86">
        <f t="shared" ca="1" si="350"/>
        <v>0</v>
      </c>
      <c r="HH86" s="97"/>
      <c r="HO86">
        <f t="shared" ca="1" si="351"/>
        <v>0</v>
      </c>
      <c r="HP86">
        <f t="shared" si="352"/>
        <v>0</v>
      </c>
      <c r="HQ86">
        <f t="shared" ca="1" si="353"/>
        <v>1</v>
      </c>
      <c r="HR86">
        <f t="shared" si="354"/>
        <v>0</v>
      </c>
      <c r="HS86">
        <f t="shared" ca="1" si="355"/>
        <v>0</v>
      </c>
      <c r="IA86" s="97"/>
      <c r="IH86">
        <f t="shared" si="356"/>
        <v>0</v>
      </c>
      <c r="II86">
        <f t="shared" ca="1" si="357"/>
        <v>0</v>
      </c>
      <c r="IJ86">
        <f t="shared" si="358"/>
        <v>0</v>
      </c>
      <c r="IK86">
        <f t="shared" ca="1" si="359"/>
        <v>1</v>
      </c>
      <c r="IL86">
        <f t="shared" ca="1" si="360"/>
        <v>0</v>
      </c>
      <c r="IT86" s="97"/>
      <c r="JA86">
        <f t="shared" ca="1" si="361"/>
        <v>0</v>
      </c>
      <c r="JB86">
        <f t="shared" si="362"/>
        <v>0</v>
      </c>
      <c r="JC86">
        <f t="shared" ca="1" si="363"/>
        <v>1</v>
      </c>
      <c r="JD86">
        <f t="shared" si="364"/>
        <v>0</v>
      </c>
      <c r="JE86">
        <f t="shared" ca="1" si="365"/>
        <v>0</v>
      </c>
      <c r="JM86" s="97"/>
      <c r="JT86">
        <f t="shared" si="366"/>
        <v>0</v>
      </c>
      <c r="JU86">
        <f t="shared" ca="1" si="367"/>
        <v>0</v>
      </c>
      <c r="JV86">
        <f t="shared" si="368"/>
        <v>0</v>
      </c>
      <c r="JW86">
        <f t="shared" ca="1" si="369"/>
        <v>1</v>
      </c>
      <c r="JX86">
        <f t="shared" ca="1" si="370"/>
        <v>0</v>
      </c>
      <c r="KF86" s="97"/>
      <c r="KM86">
        <f t="shared" ca="1" si="371"/>
        <v>0</v>
      </c>
      <c r="KN86">
        <f t="shared" si="372"/>
        <v>0</v>
      </c>
      <c r="KO86">
        <f t="shared" ca="1" si="373"/>
        <v>1</v>
      </c>
      <c r="KP86">
        <f t="shared" si="374"/>
        <v>0</v>
      </c>
      <c r="KQ86">
        <f t="shared" ca="1" si="375"/>
        <v>0</v>
      </c>
      <c r="KY86" s="97"/>
      <c r="LF86">
        <f t="shared" si="376"/>
        <v>0</v>
      </c>
      <c r="LG86">
        <f t="shared" ca="1" si="377"/>
        <v>0</v>
      </c>
      <c r="LH86">
        <f t="shared" si="378"/>
        <v>0</v>
      </c>
      <c r="LI86">
        <f t="shared" ca="1" si="379"/>
        <v>1</v>
      </c>
      <c r="LJ86">
        <f t="shared" ca="1" si="380"/>
        <v>0</v>
      </c>
      <c r="LR86" s="97"/>
      <c r="LY86">
        <f t="shared" si="381"/>
        <v>0</v>
      </c>
      <c r="LZ86">
        <f t="shared" ca="1" si="382"/>
        <v>0</v>
      </c>
      <c r="MA86">
        <f t="shared" si="383"/>
        <v>0</v>
      </c>
      <c r="MB86">
        <f t="shared" ca="1" si="384"/>
        <v>1</v>
      </c>
      <c r="MC86">
        <f t="shared" ca="1" si="385"/>
        <v>0</v>
      </c>
    </row>
    <row r="87" spans="1:341" x14ac:dyDescent="0.2">
      <c r="A87" t="s">
        <v>159</v>
      </c>
      <c r="N87">
        <f t="shared" ca="1" si="296"/>
        <v>0</v>
      </c>
      <c r="O87">
        <f t="shared" si="297"/>
        <v>0</v>
      </c>
      <c r="P87">
        <f t="shared" ca="1" si="298"/>
        <v>1</v>
      </c>
      <c r="Q87">
        <f t="shared" si="299"/>
        <v>0</v>
      </c>
      <c r="R87">
        <f t="shared" ca="1" si="300"/>
        <v>0</v>
      </c>
      <c r="AG87">
        <f t="shared" ca="1" si="301"/>
        <v>0</v>
      </c>
      <c r="AH87">
        <f t="shared" si="302"/>
        <v>0</v>
      </c>
      <c r="AI87">
        <f t="shared" ca="1" si="303"/>
        <v>1</v>
      </c>
      <c r="AJ87">
        <f t="shared" si="304"/>
        <v>0</v>
      </c>
      <c r="AK87">
        <f t="shared" ca="1" si="305"/>
        <v>0</v>
      </c>
      <c r="AZ87">
        <f t="shared" si="306"/>
        <v>0</v>
      </c>
      <c r="BA87">
        <f t="shared" ca="1" si="307"/>
        <v>0</v>
      </c>
      <c r="BB87">
        <f t="shared" si="308"/>
        <v>0</v>
      </c>
      <c r="BC87">
        <f t="shared" ca="1" si="309"/>
        <v>1</v>
      </c>
      <c r="BD87">
        <f t="shared" ca="1" si="310"/>
        <v>0</v>
      </c>
      <c r="BS87">
        <f t="shared" si="311"/>
        <v>0</v>
      </c>
      <c r="BT87">
        <f t="shared" ca="1" si="312"/>
        <v>0</v>
      </c>
      <c r="BU87">
        <f t="shared" si="313"/>
        <v>0</v>
      </c>
      <c r="BV87">
        <f t="shared" ca="1" si="314"/>
        <v>1</v>
      </c>
      <c r="BW87">
        <f t="shared" ca="1" si="315"/>
        <v>0</v>
      </c>
      <c r="CL87">
        <f t="shared" si="316"/>
        <v>0</v>
      </c>
      <c r="CM87">
        <f t="shared" ca="1" si="317"/>
        <v>0</v>
      </c>
      <c r="CN87">
        <f t="shared" si="318"/>
        <v>0</v>
      </c>
      <c r="CO87">
        <f t="shared" ca="1" si="319"/>
        <v>1</v>
      </c>
      <c r="CP87">
        <f t="shared" ca="1" si="320"/>
        <v>0</v>
      </c>
      <c r="DE87">
        <f t="shared" si="321"/>
        <v>0</v>
      </c>
      <c r="DF87">
        <f t="shared" ca="1" si="322"/>
        <v>0</v>
      </c>
      <c r="DG87">
        <f t="shared" si="323"/>
        <v>0</v>
      </c>
      <c r="DH87">
        <f t="shared" ca="1" si="324"/>
        <v>1</v>
      </c>
      <c r="DI87">
        <f t="shared" ca="1" si="325"/>
        <v>0</v>
      </c>
      <c r="DX87">
        <f t="shared" ca="1" si="326"/>
        <v>0</v>
      </c>
      <c r="DY87">
        <f t="shared" si="327"/>
        <v>0</v>
      </c>
      <c r="DZ87">
        <f t="shared" ca="1" si="328"/>
        <v>1</v>
      </c>
      <c r="EA87">
        <f t="shared" si="329"/>
        <v>0</v>
      </c>
      <c r="EB87">
        <f t="shared" ca="1" si="330"/>
        <v>0</v>
      </c>
      <c r="EQ87">
        <f t="shared" si="331"/>
        <v>0</v>
      </c>
      <c r="ER87">
        <f t="shared" ca="1" si="332"/>
        <v>0</v>
      </c>
      <c r="ES87">
        <f t="shared" si="333"/>
        <v>0</v>
      </c>
      <c r="ET87">
        <f t="shared" ca="1" si="334"/>
        <v>1</v>
      </c>
      <c r="EU87">
        <f t="shared" ca="1" si="335"/>
        <v>0</v>
      </c>
      <c r="FJ87">
        <f t="shared" ca="1" si="336"/>
        <v>0</v>
      </c>
      <c r="FK87">
        <f t="shared" si="337"/>
        <v>0</v>
      </c>
      <c r="FL87">
        <f t="shared" ca="1" si="338"/>
        <v>1</v>
      </c>
      <c r="FM87">
        <f t="shared" si="339"/>
        <v>0</v>
      </c>
      <c r="FN87">
        <f t="shared" ca="1" si="340"/>
        <v>0</v>
      </c>
      <c r="FV87" s="97"/>
      <c r="GC87">
        <f t="shared" ca="1" si="341"/>
        <v>0</v>
      </c>
      <c r="GD87">
        <f t="shared" si="342"/>
        <v>0</v>
      </c>
      <c r="GE87">
        <f t="shared" ca="1" si="343"/>
        <v>1</v>
      </c>
      <c r="GF87">
        <f t="shared" si="344"/>
        <v>0</v>
      </c>
      <c r="GG87">
        <f t="shared" ca="1" si="345"/>
        <v>0</v>
      </c>
      <c r="GO87" s="97"/>
      <c r="GV87">
        <f t="shared" si="346"/>
        <v>0</v>
      </c>
      <c r="GW87">
        <f t="shared" ca="1" si="347"/>
        <v>0</v>
      </c>
      <c r="GX87">
        <f t="shared" si="348"/>
        <v>0</v>
      </c>
      <c r="GY87">
        <f t="shared" ca="1" si="349"/>
        <v>1</v>
      </c>
      <c r="GZ87">
        <f t="shared" ca="1" si="350"/>
        <v>0</v>
      </c>
      <c r="HH87" s="97"/>
      <c r="HO87">
        <f t="shared" si="351"/>
        <v>0</v>
      </c>
      <c r="HP87">
        <f t="shared" ca="1" si="352"/>
        <v>0</v>
      </c>
      <c r="HQ87">
        <f t="shared" si="353"/>
        <v>0</v>
      </c>
      <c r="HR87">
        <f t="shared" ca="1" si="354"/>
        <v>1</v>
      </c>
      <c r="HS87">
        <f t="shared" ca="1" si="355"/>
        <v>0</v>
      </c>
      <c r="IA87" s="97"/>
      <c r="IH87">
        <f t="shared" ca="1" si="356"/>
        <v>0</v>
      </c>
      <c r="II87">
        <f t="shared" si="357"/>
        <v>0</v>
      </c>
      <c r="IJ87">
        <f t="shared" ca="1" si="358"/>
        <v>1</v>
      </c>
      <c r="IK87">
        <f t="shared" si="359"/>
        <v>0</v>
      </c>
      <c r="IL87">
        <f t="shared" ca="1" si="360"/>
        <v>0</v>
      </c>
      <c r="IT87" s="97"/>
      <c r="JA87">
        <f t="shared" si="361"/>
        <v>0</v>
      </c>
      <c r="JB87">
        <f t="shared" ca="1" si="362"/>
        <v>0</v>
      </c>
      <c r="JC87">
        <f t="shared" si="363"/>
        <v>0</v>
      </c>
      <c r="JD87">
        <f t="shared" ca="1" si="364"/>
        <v>1</v>
      </c>
      <c r="JE87">
        <f t="shared" ca="1" si="365"/>
        <v>0</v>
      </c>
      <c r="JM87" s="97"/>
      <c r="JT87">
        <f t="shared" ca="1" si="366"/>
        <v>0</v>
      </c>
      <c r="JU87">
        <f t="shared" si="367"/>
        <v>0</v>
      </c>
      <c r="JV87">
        <f t="shared" ca="1" si="368"/>
        <v>1</v>
      </c>
      <c r="JW87">
        <f t="shared" si="369"/>
        <v>0</v>
      </c>
      <c r="JX87">
        <f t="shared" ca="1" si="370"/>
        <v>0</v>
      </c>
      <c r="KF87" s="97"/>
      <c r="KM87">
        <f t="shared" si="371"/>
        <v>0</v>
      </c>
      <c r="KN87">
        <f t="shared" ca="1" si="372"/>
        <v>0</v>
      </c>
      <c r="KO87">
        <f t="shared" si="373"/>
        <v>0</v>
      </c>
      <c r="KP87">
        <f t="shared" ca="1" si="374"/>
        <v>1</v>
      </c>
      <c r="KQ87">
        <f t="shared" ca="1" si="375"/>
        <v>0</v>
      </c>
      <c r="KY87" s="97"/>
      <c r="LF87">
        <f t="shared" ca="1" si="376"/>
        <v>0</v>
      </c>
      <c r="LG87">
        <f t="shared" si="377"/>
        <v>0</v>
      </c>
      <c r="LH87">
        <f t="shared" ca="1" si="378"/>
        <v>1</v>
      </c>
      <c r="LI87">
        <f t="shared" si="379"/>
        <v>0</v>
      </c>
      <c r="LJ87">
        <f t="shared" ca="1" si="380"/>
        <v>0</v>
      </c>
      <c r="LR87" s="97"/>
      <c r="LY87">
        <f t="shared" ca="1" si="381"/>
        <v>0</v>
      </c>
      <c r="LZ87">
        <f t="shared" si="382"/>
        <v>0</v>
      </c>
      <c r="MA87">
        <f t="shared" ca="1" si="383"/>
        <v>1</v>
      </c>
      <c r="MB87">
        <f t="shared" si="384"/>
        <v>0</v>
      </c>
      <c r="MC87">
        <f t="shared" ca="1" si="385"/>
        <v>0</v>
      </c>
    </row>
    <row r="88" spans="1:341" x14ac:dyDescent="0.2">
      <c r="A88" t="s">
        <v>160</v>
      </c>
      <c r="N88">
        <f t="shared" si="296"/>
        <v>0</v>
      </c>
      <c r="O88">
        <f t="shared" ca="1" si="297"/>
        <v>0</v>
      </c>
      <c r="P88">
        <f t="shared" si="298"/>
        <v>0</v>
      </c>
      <c r="Q88">
        <f t="shared" ca="1" si="299"/>
        <v>1</v>
      </c>
      <c r="R88">
        <f t="shared" ca="1" si="300"/>
        <v>0</v>
      </c>
      <c r="AG88">
        <f t="shared" si="301"/>
        <v>0</v>
      </c>
      <c r="AH88">
        <f t="shared" ca="1" si="302"/>
        <v>0</v>
      </c>
      <c r="AI88">
        <f t="shared" si="303"/>
        <v>0</v>
      </c>
      <c r="AJ88">
        <f t="shared" ca="1" si="304"/>
        <v>1</v>
      </c>
      <c r="AK88">
        <f t="shared" ca="1" si="305"/>
        <v>0</v>
      </c>
      <c r="AZ88">
        <f t="shared" ca="1" si="306"/>
        <v>0</v>
      </c>
      <c r="BA88">
        <f t="shared" si="307"/>
        <v>0</v>
      </c>
      <c r="BB88">
        <f t="shared" ca="1" si="308"/>
        <v>1</v>
      </c>
      <c r="BC88">
        <f t="shared" si="309"/>
        <v>0</v>
      </c>
      <c r="BD88">
        <f t="shared" ca="1" si="310"/>
        <v>0</v>
      </c>
      <c r="BS88">
        <f t="shared" ca="1" si="311"/>
        <v>0</v>
      </c>
      <c r="BT88">
        <f t="shared" si="312"/>
        <v>0</v>
      </c>
      <c r="BU88">
        <f t="shared" ca="1" si="313"/>
        <v>1</v>
      </c>
      <c r="BV88">
        <f t="shared" si="314"/>
        <v>0</v>
      </c>
      <c r="BW88">
        <f t="shared" ca="1" si="315"/>
        <v>0</v>
      </c>
      <c r="CL88">
        <f t="shared" ca="1" si="316"/>
        <v>0</v>
      </c>
      <c r="CM88">
        <f t="shared" si="317"/>
        <v>0</v>
      </c>
      <c r="CN88">
        <f t="shared" ca="1" si="318"/>
        <v>1</v>
      </c>
      <c r="CO88">
        <f t="shared" si="319"/>
        <v>0</v>
      </c>
      <c r="CP88">
        <f t="shared" ca="1" si="320"/>
        <v>0</v>
      </c>
      <c r="DE88">
        <f t="shared" ca="1" si="321"/>
        <v>0</v>
      </c>
      <c r="DF88">
        <f t="shared" si="322"/>
        <v>0</v>
      </c>
      <c r="DG88">
        <f t="shared" ca="1" si="323"/>
        <v>1</v>
      </c>
      <c r="DH88">
        <f t="shared" si="324"/>
        <v>0</v>
      </c>
      <c r="DI88">
        <f t="shared" ca="1" si="325"/>
        <v>0</v>
      </c>
      <c r="DX88">
        <f t="shared" si="326"/>
        <v>0</v>
      </c>
      <c r="DY88">
        <f t="shared" ca="1" si="327"/>
        <v>0</v>
      </c>
      <c r="DZ88">
        <f t="shared" si="328"/>
        <v>0</v>
      </c>
      <c r="EA88">
        <f t="shared" ca="1" si="329"/>
        <v>1</v>
      </c>
      <c r="EB88">
        <f t="shared" ca="1" si="330"/>
        <v>0</v>
      </c>
      <c r="EQ88">
        <f t="shared" ca="1" si="331"/>
        <v>0</v>
      </c>
      <c r="ER88">
        <f t="shared" si="332"/>
        <v>0</v>
      </c>
      <c r="ES88">
        <f t="shared" ca="1" si="333"/>
        <v>1</v>
      </c>
      <c r="ET88">
        <f t="shared" si="334"/>
        <v>0</v>
      </c>
      <c r="EU88">
        <f t="shared" ca="1" si="335"/>
        <v>0</v>
      </c>
      <c r="FJ88">
        <f t="shared" si="336"/>
        <v>0</v>
      </c>
      <c r="FK88">
        <f t="shared" ca="1" si="337"/>
        <v>0</v>
      </c>
      <c r="FL88">
        <f t="shared" si="338"/>
        <v>0</v>
      </c>
      <c r="FM88">
        <f t="shared" ca="1" si="339"/>
        <v>1</v>
      </c>
      <c r="FN88">
        <f t="shared" ca="1" si="340"/>
        <v>0</v>
      </c>
      <c r="FV88" s="97"/>
      <c r="GC88">
        <f t="shared" si="341"/>
        <v>0</v>
      </c>
      <c r="GD88">
        <f t="shared" ca="1" si="342"/>
        <v>0</v>
      </c>
      <c r="GE88">
        <f t="shared" si="343"/>
        <v>0</v>
      </c>
      <c r="GF88">
        <f t="shared" ca="1" si="344"/>
        <v>1</v>
      </c>
      <c r="GG88">
        <f t="shared" ca="1" si="345"/>
        <v>0</v>
      </c>
      <c r="GO88" s="97"/>
      <c r="GV88">
        <f t="shared" ca="1" si="346"/>
        <v>0</v>
      </c>
      <c r="GW88">
        <f t="shared" si="347"/>
        <v>0</v>
      </c>
      <c r="GX88">
        <f t="shared" ca="1" si="348"/>
        <v>1</v>
      </c>
      <c r="GY88">
        <f t="shared" si="349"/>
        <v>0</v>
      </c>
      <c r="GZ88">
        <f t="shared" ca="1" si="350"/>
        <v>0</v>
      </c>
      <c r="HH88" s="97"/>
      <c r="HO88">
        <f t="shared" ca="1" si="351"/>
        <v>0</v>
      </c>
      <c r="HP88">
        <f t="shared" si="352"/>
        <v>0</v>
      </c>
      <c r="HQ88">
        <f t="shared" ca="1" si="353"/>
        <v>1</v>
      </c>
      <c r="HR88">
        <f t="shared" si="354"/>
        <v>0</v>
      </c>
      <c r="HS88">
        <f t="shared" ca="1" si="355"/>
        <v>0</v>
      </c>
      <c r="IA88" s="97"/>
      <c r="IH88">
        <f t="shared" si="356"/>
        <v>0</v>
      </c>
      <c r="II88">
        <f t="shared" ca="1" si="357"/>
        <v>0</v>
      </c>
      <c r="IJ88">
        <f t="shared" si="358"/>
        <v>0</v>
      </c>
      <c r="IK88">
        <f t="shared" ca="1" si="359"/>
        <v>1</v>
      </c>
      <c r="IL88">
        <f t="shared" ca="1" si="360"/>
        <v>0</v>
      </c>
      <c r="IT88" s="97"/>
      <c r="JA88">
        <f t="shared" ca="1" si="361"/>
        <v>0</v>
      </c>
      <c r="JB88">
        <f t="shared" si="362"/>
        <v>0</v>
      </c>
      <c r="JC88">
        <f t="shared" ca="1" si="363"/>
        <v>1</v>
      </c>
      <c r="JD88">
        <f t="shared" si="364"/>
        <v>0</v>
      </c>
      <c r="JE88">
        <f t="shared" ca="1" si="365"/>
        <v>0</v>
      </c>
      <c r="JM88" s="97"/>
      <c r="JT88">
        <f t="shared" si="366"/>
        <v>0</v>
      </c>
      <c r="JU88">
        <f t="shared" ca="1" si="367"/>
        <v>0</v>
      </c>
      <c r="JV88">
        <f t="shared" si="368"/>
        <v>0</v>
      </c>
      <c r="JW88">
        <f t="shared" ca="1" si="369"/>
        <v>1</v>
      </c>
      <c r="JX88">
        <f t="shared" ca="1" si="370"/>
        <v>0</v>
      </c>
      <c r="KF88" s="97"/>
      <c r="KM88">
        <f t="shared" ca="1" si="371"/>
        <v>0</v>
      </c>
      <c r="KN88">
        <f t="shared" si="372"/>
        <v>0</v>
      </c>
      <c r="KO88">
        <f t="shared" ca="1" si="373"/>
        <v>1</v>
      </c>
      <c r="KP88">
        <f t="shared" si="374"/>
        <v>0</v>
      </c>
      <c r="KQ88">
        <f t="shared" ca="1" si="375"/>
        <v>0</v>
      </c>
      <c r="KY88" s="97"/>
      <c r="LF88">
        <f t="shared" si="376"/>
        <v>0</v>
      </c>
      <c r="LG88">
        <f t="shared" ca="1" si="377"/>
        <v>0</v>
      </c>
      <c r="LH88">
        <f t="shared" si="378"/>
        <v>0</v>
      </c>
      <c r="LI88">
        <f t="shared" ca="1" si="379"/>
        <v>1</v>
      </c>
      <c r="LJ88">
        <f t="shared" ca="1" si="380"/>
        <v>0</v>
      </c>
      <c r="LR88" s="97"/>
      <c r="LY88">
        <f t="shared" si="381"/>
        <v>0</v>
      </c>
      <c r="LZ88">
        <f t="shared" ca="1" si="382"/>
        <v>0</v>
      </c>
      <c r="MA88">
        <f t="shared" si="383"/>
        <v>0</v>
      </c>
      <c r="MB88">
        <f t="shared" ca="1" si="384"/>
        <v>1</v>
      </c>
      <c r="MC88">
        <f t="shared" ca="1" si="385"/>
        <v>0</v>
      </c>
    </row>
    <row r="89" spans="1:341" x14ac:dyDescent="0.2">
      <c r="A89" t="s">
        <v>161</v>
      </c>
      <c r="N89">
        <f t="shared" ca="1" si="296"/>
        <v>0</v>
      </c>
      <c r="O89">
        <f t="shared" si="297"/>
        <v>0</v>
      </c>
      <c r="P89">
        <f t="shared" ca="1" si="298"/>
        <v>1</v>
      </c>
      <c r="Q89">
        <f t="shared" si="299"/>
        <v>0</v>
      </c>
      <c r="R89">
        <f t="shared" ca="1" si="300"/>
        <v>0</v>
      </c>
      <c r="AG89">
        <f t="shared" ca="1" si="301"/>
        <v>0</v>
      </c>
      <c r="AH89">
        <f t="shared" si="302"/>
        <v>0</v>
      </c>
      <c r="AI89">
        <f t="shared" ca="1" si="303"/>
        <v>1</v>
      </c>
      <c r="AJ89">
        <f t="shared" si="304"/>
        <v>0</v>
      </c>
      <c r="AK89">
        <f t="shared" ca="1" si="305"/>
        <v>0</v>
      </c>
      <c r="AZ89">
        <f t="shared" si="306"/>
        <v>0</v>
      </c>
      <c r="BA89">
        <f t="shared" ca="1" si="307"/>
        <v>0</v>
      </c>
      <c r="BB89">
        <f t="shared" si="308"/>
        <v>0</v>
      </c>
      <c r="BC89">
        <f t="shared" ca="1" si="309"/>
        <v>1</v>
      </c>
      <c r="BD89">
        <f t="shared" ca="1" si="310"/>
        <v>0</v>
      </c>
      <c r="BS89">
        <f t="shared" si="311"/>
        <v>0</v>
      </c>
      <c r="BT89">
        <f t="shared" ca="1" si="312"/>
        <v>0</v>
      </c>
      <c r="BU89">
        <f t="shared" si="313"/>
        <v>0</v>
      </c>
      <c r="BV89">
        <f t="shared" ca="1" si="314"/>
        <v>1</v>
      </c>
      <c r="BW89">
        <f t="shared" ca="1" si="315"/>
        <v>0</v>
      </c>
      <c r="CL89">
        <f t="shared" si="316"/>
        <v>0</v>
      </c>
      <c r="CM89">
        <f t="shared" ca="1" si="317"/>
        <v>0</v>
      </c>
      <c r="CN89">
        <f t="shared" si="318"/>
        <v>0</v>
      </c>
      <c r="CO89">
        <f t="shared" ca="1" si="319"/>
        <v>1</v>
      </c>
      <c r="CP89">
        <f t="shared" ca="1" si="320"/>
        <v>0</v>
      </c>
      <c r="DE89">
        <f t="shared" si="321"/>
        <v>0</v>
      </c>
      <c r="DF89">
        <f t="shared" ca="1" si="322"/>
        <v>0</v>
      </c>
      <c r="DG89">
        <f t="shared" si="323"/>
        <v>0</v>
      </c>
      <c r="DH89">
        <f t="shared" ca="1" si="324"/>
        <v>1</v>
      </c>
      <c r="DI89">
        <f t="shared" ca="1" si="325"/>
        <v>0</v>
      </c>
      <c r="DX89">
        <f t="shared" si="326"/>
        <v>0</v>
      </c>
      <c r="DY89">
        <f t="shared" ca="1" si="327"/>
        <v>0</v>
      </c>
      <c r="DZ89">
        <f t="shared" si="328"/>
        <v>0</v>
      </c>
      <c r="EA89">
        <f t="shared" ca="1" si="329"/>
        <v>1</v>
      </c>
      <c r="EB89">
        <f t="shared" ca="1" si="330"/>
        <v>0</v>
      </c>
      <c r="EQ89">
        <f t="shared" ca="1" si="331"/>
        <v>0</v>
      </c>
      <c r="ER89">
        <f t="shared" si="332"/>
        <v>0</v>
      </c>
      <c r="ES89">
        <f t="shared" ca="1" si="333"/>
        <v>1</v>
      </c>
      <c r="ET89">
        <f t="shared" si="334"/>
        <v>0</v>
      </c>
      <c r="EU89">
        <f t="shared" ca="1" si="335"/>
        <v>0</v>
      </c>
      <c r="FJ89">
        <f t="shared" ca="1" si="336"/>
        <v>0</v>
      </c>
      <c r="FK89">
        <f t="shared" si="337"/>
        <v>0</v>
      </c>
      <c r="FL89">
        <f t="shared" ca="1" si="338"/>
        <v>1</v>
      </c>
      <c r="FM89">
        <f t="shared" si="339"/>
        <v>0</v>
      </c>
      <c r="FN89">
        <f t="shared" ca="1" si="340"/>
        <v>0</v>
      </c>
      <c r="FV89" s="97"/>
      <c r="GC89">
        <f t="shared" ca="1" si="341"/>
        <v>0</v>
      </c>
      <c r="GD89">
        <f t="shared" si="342"/>
        <v>0</v>
      </c>
      <c r="GE89">
        <f t="shared" ca="1" si="343"/>
        <v>1</v>
      </c>
      <c r="GF89">
        <f t="shared" si="344"/>
        <v>0</v>
      </c>
      <c r="GG89">
        <f t="shared" ca="1" si="345"/>
        <v>0</v>
      </c>
      <c r="GO89" s="97"/>
      <c r="GV89">
        <f t="shared" si="346"/>
        <v>0</v>
      </c>
      <c r="GW89">
        <f t="shared" ca="1" si="347"/>
        <v>0</v>
      </c>
      <c r="GX89">
        <f t="shared" si="348"/>
        <v>0</v>
      </c>
      <c r="GY89">
        <f t="shared" ca="1" si="349"/>
        <v>1</v>
      </c>
      <c r="GZ89">
        <f t="shared" ca="1" si="350"/>
        <v>0</v>
      </c>
      <c r="HH89" s="97"/>
      <c r="HO89">
        <f t="shared" si="351"/>
        <v>0</v>
      </c>
      <c r="HP89">
        <f t="shared" ca="1" si="352"/>
        <v>0</v>
      </c>
      <c r="HQ89">
        <f t="shared" si="353"/>
        <v>0</v>
      </c>
      <c r="HR89">
        <f t="shared" ca="1" si="354"/>
        <v>1</v>
      </c>
      <c r="HS89">
        <f t="shared" ca="1" si="355"/>
        <v>0</v>
      </c>
      <c r="IA89" s="97"/>
      <c r="IH89">
        <f t="shared" ca="1" si="356"/>
        <v>0</v>
      </c>
      <c r="II89">
        <f t="shared" si="357"/>
        <v>0</v>
      </c>
      <c r="IJ89">
        <f t="shared" ca="1" si="358"/>
        <v>1</v>
      </c>
      <c r="IK89">
        <f t="shared" si="359"/>
        <v>0</v>
      </c>
      <c r="IL89">
        <f t="shared" ca="1" si="360"/>
        <v>0</v>
      </c>
      <c r="IT89" s="97"/>
      <c r="JA89">
        <f t="shared" si="361"/>
        <v>0</v>
      </c>
      <c r="JB89">
        <f t="shared" ca="1" si="362"/>
        <v>0</v>
      </c>
      <c r="JC89">
        <f t="shared" si="363"/>
        <v>0</v>
      </c>
      <c r="JD89">
        <f t="shared" ca="1" si="364"/>
        <v>1</v>
      </c>
      <c r="JE89">
        <f t="shared" ca="1" si="365"/>
        <v>0</v>
      </c>
      <c r="JM89" s="97"/>
      <c r="JT89">
        <f t="shared" ca="1" si="366"/>
        <v>0</v>
      </c>
      <c r="JU89">
        <f t="shared" si="367"/>
        <v>0</v>
      </c>
      <c r="JV89">
        <f t="shared" ca="1" si="368"/>
        <v>1</v>
      </c>
      <c r="JW89">
        <f t="shared" si="369"/>
        <v>0</v>
      </c>
      <c r="JX89">
        <f t="shared" ca="1" si="370"/>
        <v>0</v>
      </c>
      <c r="KF89" s="97"/>
      <c r="KM89">
        <f t="shared" si="371"/>
        <v>0</v>
      </c>
      <c r="KN89">
        <f t="shared" ca="1" si="372"/>
        <v>0</v>
      </c>
      <c r="KO89">
        <f t="shared" si="373"/>
        <v>0</v>
      </c>
      <c r="KP89">
        <f t="shared" ca="1" si="374"/>
        <v>1</v>
      </c>
      <c r="KQ89">
        <f t="shared" ca="1" si="375"/>
        <v>0</v>
      </c>
      <c r="KY89" s="97"/>
      <c r="LF89">
        <f t="shared" ca="1" si="376"/>
        <v>0</v>
      </c>
      <c r="LG89">
        <f t="shared" si="377"/>
        <v>0</v>
      </c>
      <c r="LH89">
        <f t="shared" ca="1" si="378"/>
        <v>1</v>
      </c>
      <c r="LI89">
        <f t="shared" si="379"/>
        <v>0</v>
      </c>
      <c r="LJ89">
        <f t="shared" ca="1" si="380"/>
        <v>0</v>
      </c>
      <c r="LR89" s="97"/>
      <c r="LY89">
        <f t="shared" ca="1" si="381"/>
        <v>0</v>
      </c>
      <c r="LZ89">
        <f t="shared" si="382"/>
        <v>0</v>
      </c>
      <c r="MA89">
        <f t="shared" ca="1" si="383"/>
        <v>1</v>
      </c>
      <c r="MB89">
        <f t="shared" si="384"/>
        <v>0</v>
      </c>
      <c r="MC89">
        <f t="shared" ca="1" si="385"/>
        <v>0</v>
      </c>
    </row>
    <row r="90" spans="1:341" x14ac:dyDescent="0.2">
      <c r="A90" t="s">
        <v>221</v>
      </c>
      <c r="N90">
        <f t="shared" si="296"/>
        <v>0</v>
      </c>
      <c r="O90">
        <f t="shared" ca="1" si="297"/>
        <v>0</v>
      </c>
      <c r="P90">
        <f t="shared" si="298"/>
        <v>0</v>
      </c>
      <c r="Q90">
        <f t="shared" ca="1" si="299"/>
        <v>1</v>
      </c>
      <c r="R90">
        <f t="shared" ca="1" si="300"/>
        <v>0</v>
      </c>
      <c r="AG90">
        <f t="shared" si="301"/>
        <v>0</v>
      </c>
      <c r="AH90">
        <f t="shared" ca="1" si="302"/>
        <v>0</v>
      </c>
      <c r="AI90">
        <f t="shared" si="303"/>
        <v>0</v>
      </c>
      <c r="AJ90">
        <f t="shared" ca="1" si="304"/>
        <v>1</v>
      </c>
      <c r="AK90">
        <f t="shared" ca="1" si="305"/>
        <v>0</v>
      </c>
      <c r="AZ90">
        <f t="shared" ca="1" si="306"/>
        <v>0</v>
      </c>
      <c r="BA90">
        <f t="shared" si="307"/>
        <v>0</v>
      </c>
      <c r="BB90">
        <f t="shared" ca="1" si="308"/>
        <v>1</v>
      </c>
      <c r="BC90">
        <f t="shared" si="309"/>
        <v>0</v>
      </c>
      <c r="BD90">
        <f t="shared" ca="1" si="310"/>
        <v>0</v>
      </c>
      <c r="BS90">
        <f t="shared" ca="1" si="311"/>
        <v>0</v>
      </c>
      <c r="BT90">
        <f t="shared" si="312"/>
        <v>0</v>
      </c>
      <c r="BU90">
        <f t="shared" ca="1" si="313"/>
        <v>1</v>
      </c>
      <c r="BV90">
        <f t="shared" si="314"/>
        <v>0</v>
      </c>
      <c r="BW90">
        <f t="shared" ca="1" si="315"/>
        <v>0</v>
      </c>
      <c r="CL90">
        <f t="shared" ca="1" si="316"/>
        <v>0</v>
      </c>
      <c r="CM90">
        <f t="shared" si="317"/>
        <v>0</v>
      </c>
      <c r="CN90">
        <f t="shared" ca="1" si="318"/>
        <v>1</v>
      </c>
      <c r="CO90">
        <f t="shared" si="319"/>
        <v>0</v>
      </c>
      <c r="CP90">
        <f t="shared" ca="1" si="320"/>
        <v>0</v>
      </c>
      <c r="DE90">
        <f t="shared" ca="1" si="321"/>
        <v>0</v>
      </c>
      <c r="DF90">
        <f t="shared" si="322"/>
        <v>0</v>
      </c>
      <c r="DG90">
        <f t="shared" ca="1" si="323"/>
        <v>1</v>
      </c>
      <c r="DH90">
        <f t="shared" si="324"/>
        <v>0</v>
      </c>
      <c r="DI90">
        <f t="shared" ca="1" si="325"/>
        <v>0</v>
      </c>
      <c r="DX90">
        <f t="shared" ca="1" si="326"/>
        <v>0</v>
      </c>
      <c r="DY90">
        <f t="shared" si="327"/>
        <v>0</v>
      </c>
      <c r="DZ90">
        <f t="shared" ca="1" si="328"/>
        <v>1</v>
      </c>
      <c r="EA90">
        <f t="shared" si="329"/>
        <v>0</v>
      </c>
      <c r="EB90">
        <f t="shared" ca="1" si="330"/>
        <v>0</v>
      </c>
      <c r="EQ90">
        <f t="shared" si="331"/>
        <v>0</v>
      </c>
      <c r="ER90">
        <f t="shared" ca="1" si="332"/>
        <v>0</v>
      </c>
      <c r="ES90">
        <f t="shared" si="333"/>
        <v>0</v>
      </c>
      <c r="ET90">
        <f t="shared" ca="1" si="334"/>
        <v>1</v>
      </c>
      <c r="EU90">
        <f t="shared" ca="1" si="335"/>
        <v>0</v>
      </c>
      <c r="FJ90">
        <f t="shared" si="336"/>
        <v>0</v>
      </c>
      <c r="FK90">
        <f t="shared" ca="1" si="337"/>
        <v>0</v>
      </c>
      <c r="FL90">
        <f t="shared" si="338"/>
        <v>0</v>
      </c>
      <c r="FM90">
        <f t="shared" ca="1" si="339"/>
        <v>1</v>
      </c>
      <c r="FN90">
        <f t="shared" ca="1" si="340"/>
        <v>0</v>
      </c>
      <c r="FV90" s="97"/>
      <c r="GC90">
        <f t="shared" si="341"/>
        <v>0</v>
      </c>
      <c r="GD90">
        <f t="shared" ca="1" si="342"/>
        <v>0</v>
      </c>
      <c r="GE90">
        <f t="shared" si="343"/>
        <v>0</v>
      </c>
      <c r="GF90">
        <f t="shared" ca="1" si="344"/>
        <v>1</v>
      </c>
      <c r="GG90">
        <f t="shared" ca="1" si="345"/>
        <v>0</v>
      </c>
      <c r="GO90" s="97"/>
      <c r="GV90">
        <f t="shared" ca="1" si="346"/>
        <v>0</v>
      </c>
      <c r="GW90">
        <f t="shared" si="347"/>
        <v>0</v>
      </c>
      <c r="GX90">
        <f t="shared" ca="1" si="348"/>
        <v>1</v>
      </c>
      <c r="GY90">
        <f t="shared" si="349"/>
        <v>0</v>
      </c>
      <c r="GZ90">
        <f t="shared" ca="1" si="350"/>
        <v>0</v>
      </c>
      <c r="HH90" s="97"/>
      <c r="HO90">
        <f t="shared" ca="1" si="351"/>
        <v>0</v>
      </c>
      <c r="HP90">
        <f t="shared" si="352"/>
        <v>0</v>
      </c>
      <c r="HQ90">
        <f t="shared" ca="1" si="353"/>
        <v>1</v>
      </c>
      <c r="HR90">
        <f t="shared" si="354"/>
        <v>0</v>
      </c>
      <c r="HS90">
        <f t="shared" ca="1" si="355"/>
        <v>0</v>
      </c>
      <c r="IA90" s="97"/>
      <c r="IH90">
        <f t="shared" ca="1" si="356"/>
        <v>0</v>
      </c>
      <c r="II90">
        <f t="shared" si="357"/>
        <v>0</v>
      </c>
      <c r="IJ90">
        <f t="shared" ca="1" si="358"/>
        <v>1</v>
      </c>
      <c r="IK90">
        <f t="shared" si="359"/>
        <v>0</v>
      </c>
      <c r="IL90">
        <f t="shared" ca="1" si="360"/>
        <v>0</v>
      </c>
      <c r="IT90" s="97"/>
      <c r="JA90">
        <f t="shared" ca="1" si="361"/>
        <v>0</v>
      </c>
      <c r="JB90">
        <f t="shared" si="362"/>
        <v>0</v>
      </c>
      <c r="JC90">
        <f t="shared" ca="1" si="363"/>
        <v>1</v>
      </c>
      <c r="JD90">
        <f t="shared" si="364"/>
        <v>0</v>
      </c>
      <c r="JE90">
        <f t="shared" ca="1" si="365"/>
        <v>0</v>
      </c>
      <c r="JM90" s="97"/>
      <c r="JT90">
        <f t="shared" si="366"/>
        <v>0</v>
      </c>
      <c r="JU90">
        <f t="shared" ca="1" si="367"/>
        <v>0</v>
      </c>
      <c r="JV90">
        <f t="shared" si="368"/>
        <v>0</v>
      </c>
      <c r="JW90">
        <f t="shared" ca="1" si="369"/>
        <v>1</v>
      </c>
      <c r="JX90">
        <f t="shared" ca="1" si="370"/>
        <v>0</v>
      </c>
      <c r="KF90" s="97"/>
      <c r="KM90">
        <f t="shared" si="371"/>
        <v>0</v>
      </c>
      <c r="KN90">
        <f t="shared" ca="1" si="372"/>
        <v>0</v>
      </c>
      <c r="KO90">
        <f t="shared" si="373"/>
        <v>0</v>
      </c>
      <c r="KP90">
        <f t="shared" ca="1" si="374"/>
        <v>1</v>
      </c>
      <c r="KQ90">
        <f t="shared" ca="1" si="375"/>
        <v>0</v>
      </c>
      <c r="KY90" s="97"/>
      <c r="LF90">
        <f t="shared" si="376"/>
        <v>0</v>
      </c>
      <c r="LG90">
        <f t="shared" ca="1" si="377"/>
        <v>0</v>
      </c>
      <c r="LH90">
        <f t="shared" si="378"/>
        <v>0</v>
      </c>
      <c r="LI90">
        <f t="shared" ca="1" si="379"/>
        <v>1</v>
      </c>
      <c r="LJ90">
        <f t="shared" ca="1" si="380"/>
        <v>0</v>
      </c>
      <c r="LR90" s="97"/>
      <c r="LY90">
        <f t="shared" si="381"/>
        <v>0</v>
      </c>
      <c r="LZ90">
        <f t="shared" ca="1" si="382"/>
        <v>0</v>
      </c>
      <c r="MA90">
        <f t="shared" si="383"/>
        <v>0</v>
      </c>
      <c r="MB90">
        <f t="shared" ca="1" si="384"/>
        <v>1</v>
      </c>
      <c r="MC90">
        <f t="shared" ca="1" si="385"/>
        <v>0</v>
      </c>
    </row>
    <row r="91" spans="1:341" x14ac:dyDescent="0.2">
      <c r="A91" t="s">
        <v>222</v>
      </c>
      <c r="N91">
        <f t="shared" ca="1" si="296"/>
        <v>0</v>
      </c>
      <c r="O91">
        <f t="shared" si="297"/>
        <v>0</v>
      </c>
      <c r="P91">
        <f t="shared" ca="1" si="298"/>
        <v>1</v>
      </c>
      <c r="Q91">
        <f t="shared" si="299"/>
        <v>0</v>
      </c>
      <c r="R91">
        <f t="shared" ca="1" si="300"/>
        <v>0</v>
      </c>
      <c r="AG91">
        <f t="shared" ca="1" si="301"/>
        <v>0</v>
      </c>
      <c r="AH91">
        <f t="shared" si="302"/>
        <v>0</v>
      </c>
      <c r="AI91">
        <f t="shared" ca="1" si="303"/>
        <v>1</v>
      </c>
      <c r="AJ91">
        <f t="shared" si="304"/>
        <v>0</v>
      </c>
      <c r="AK91">
        <f t="shared" ca="1" si="305"/>
        <v>0</v>
      </c>
      <c r="AZ91">
        <f t="shared" si="306"/>
        <v>0</v>
      </c>
      <c r="BA91">
        <f t="shared" ca="1" si="307"/>
        <v>0</v>
      </c>
      <c r="BB91">
        <f t="shared" si="308"/>
        <v>0</v>
      </c>
      <c r="BC91">
        <f t="shared" ca="1" si="309"/>
        <v>1</v>
      </c>
      <c r="BD91">
        <f t="shared" ca="1" si="310"/>
        <v>0</v>
      </c>
      <c r="BS91">
        <f t="shared" si="311"/>
        <v>0</v>
      </c>
      <c r="BT91">
        <f t="shared" ca="1" si="312"/>
        <v>0</v>
      </c>
      <c r="BU91">
        <f t="shared" si="313"/>
        <v>0</v>
      </c>
      <c r="BV91">
        <f t="shared" ca="1" si="314"/>
        <v>1</v>
      </c>
      <c r="BW91">
        <f t="shared" ca="1" si="315"/>
        <v>0</v>
      </c>
      <c r="CL91">
        <f t="shared" si="316"/>
        <v>0</v>
      </c>
      <c r="CM91">
        <f t="shared" ca="1" si="317"/>
        <v>0</v>
      </c>
      <c r="CN91">
        <f t="shared" si="318"/>
        <v>0</v>
      </c>
      <c r="CO91">
        <f t="shared" ca="1" si="319"/>
        <v>1</v>
      </c>
      <c r="CP91">
        <f t="shared" ca="1" si="320"/>
        <v>0</v>
      </c>
      <c r="DE91">
        <f t="shared" si="321"/>
        <v>0</v>
      </c>
      <c r="DF91">
        <f t="shared" ca="1" si="322"/>
        <v>0</v>
      </c>
      <c r="DG91">
        <f t="shared" si="323"/>
        <v>0</v>
      </c>
      <c r="DH91">
        <f t="shared" ca="1" si="324"/>
        <v>1</v>
      </c>
      <c r="DI91">
        <f t="shared" ca="1" si="325"/>
        <v>0</v>
      </c>
      <c r="DX91">
        <f t="shared" si="326"/>
        <v>0</v>
      </c>
      <c r="DY91">
        <f t="shared" ca="1" si="327"/>
        <v>0</v>
      </c>
      <c r="DZ91">
        <f t="shared" si="328"/>
        <v>0</v>
      </c>
      <c r="EA91">
        <f t="shared" ca="1" si="329"/>
        <v>1</v>
      </c>
      <c r="EB91">
        <f t="shared" ca="1" si="330"/>
        <v>0</v>
      </c>
      <c r="EQ91">
        <f t="shared" ca="1" si="331"/>
        <v>0</v>
      </c>
      <c r="ER91">
        <f t="shared" si="332"/>
        <v>0</v>
      </c>
      <c r="ES91">
        <f t="shared" ca="1" si="333"/>
        <v>1</v>
      </c>
      <c r="ET91">
        <f t="shared" si="334"/>
        <v>0</v>
      </c>
      <c r="EU91">
        <f t="shared" ca="1" si="335"/>
        <v>0</v>
      </c>
      <c r="FJ91">
        <f t="shared" ca="1" si="336"/>
        <v>0</v>
      </c>
      <c r="FK91">
        <f t="shared" si="337"/>
        <v>0</v>
      </c>
      <c r="FL91">
        <f t="shared" ca="1" si="338"/>
        <v>1</v>
      </c>
      <c r="FM91">
        <f t="shared" si="339"/>
        <v>0</v>
      </c>
      <c r="FN91">
        <f t="shared" ca="1" si="340"/>
        <v>0</v>
      </c>
      <c r="FV91" s="97"/>
      <c r="GC91">
        <f t="shared" ca="1" si="341"/>
        <v>0</v>
      </c>
      <c r="GD91">
        <f t="shared" si="342"/>
        <v>0</v>
      </c>
      <c r="GE91">
        <f t="shared" ca="1" si="343"/>
        <v>1</v>
      </c>
      <c r="GF91">
        <f t="shared" si="344"/>
        <v>0</v>
      </c>
      <c r="GG91">
        <f t="shared" ca="1" si="345"/>
        <v>0</v>
      </c>
      <c r="GO91" s="97"/>
      <c r="GV91">
        <f t="shared" si="346"/>
        <v>0</v>
      </c>
      <c r="GW91">
        <f t="shared" ca="1" si="347"/>
        <v>0</v>
      </c>
      <c r="GX91">
        <f t="shared" si="348"/>
        <v>0</v>
      </c>
      <c r="GY91">
        <f t="shared" ca="1" si="349"/>
        <v>1</v>
      </c>
      <c r="GZ91">
        <f t="shared" ca="1" si="350"/>
        <v>0</v>
      </c>
      <c r="HH91" s="97"/>
      <c r="HO91">
        <f t="shared" si="351"/>
        <v>0</v>
      </c>
      <c r="HP91">
        <f t="shared" ca="1" si="352"/>
        <v>0</v>
      </c>
      <c r="HQ91">
        <f t="shared" si="353"/>
        <v>0</v>
      </c>
      <c r="HR91">
        <f t="shared" ca="1" si="354"/>
        <v>1</v>
      </c>
      <c r="HS91">
        <f t="shared" ca="1" si="355"/>
        <v>0</v>
      </c>
      <c r="IA91" s="97"/>
      <c r="IH91">
        <f t="shared" si="356"/>
        <v>0</v>
      </c>
      <c r="II91">
        <f t="shared" ca="1" si="357"/>
        <v>0</v>
      </c>
      <c r="IJ91">
        <f t="shared" si="358"/>
        <v>0</v>
      </c>
      <c r="IK91">
        <f t="shared" ca="1" si="359"/>
        <v>1</v>
      </c>
      <c r="IL91">
        <f t="shared" ca="1" si="360"/>
        <v>0</v>
      </c>
      <c r="IT91" s="97"/>
      <c r="JA91">
        <f t="shared" si="361"/>
        <v>0</v>
      </c>
      <c r="JB91">
        <f t="shared" ca="1" si="362"/>
        <v>0</v>
      </c>
      <c r="JC91">
        <f t="shared" si="363"/>
        <v>0</v>
      </c>
      <c r="JD91">
        <f t="shared" ca="1" si="364"/>
        <v>1</v>
      </c>
      <c r="JE91">
        <f t="shared" ca="1" si="365"/>
        <v>0</v>
      </c>
      <c r="JM91" s="97"/>
      <c r="JT91">
        <f t="shared" ca="1" si="366"/>
        <v>0</v>
      </c>
      <c r="JU91">
        <f t="shared" si="367"/>
        <v>0</v>
      </c>
      <c r="JV91">
        <f t="shared" ca="1" si="368"/>
        <v>1</v>
      </c>
      <c r="JW91">
        <f t="shared" si="369"/>
        <v>0</v>
      </c>
      <c r="JX91">
        <f t="shared" ca="1" si="370"/>
        <v>0</v>
      </c>
      <c r="KF91" s="97"/>
      <c r="KM91">
        <f t="shared" ca="1" si="371"/>
        <v>0</v>
      </c>
      <c r="KN91">
        <f t="shared" si="372"/>
        <v>0</v>
      </c>
      <c r="KO91">
        <f t="shared" ca="1" si="373"/>
        <v>1</v>
      </c>
      <c r="KP91">
        <f t="shared" si="374"/>
        <v>0</v>
      </c>
      <c r="KQ91">
        <f t="shared" ca="1" si="375"/>
        <v>0</v>
      </c>
      <c r="KY91" s="97"/>
      <c r="LF91">
        <f t="shared" ca="1" si="376"/>
        <v>0</v>
      </c>
      <c r="LG91">
        <f t="shared" si="377"/>
        <v>0</v>
      </c>
      <c r="LH91">
        <f t="shared" ca="1" si="378"/>
        <v>1</v>
      </c>
      <c r="LI91">
        <f t="shared" si="379"/>
        <v>0</v>
      </c>
      <c r="LJ91">
        <f t="shared" ca="1" si="380"/>
        <v>0</v>
      </c>
      <c r="LR91" s="97"/>
      <c r="LY91">
        <f t="shared" ca="1" si="381"/>
        <v>0</v>
      </c>
      <c r="LZ91">
        <f t="shared" si="382"/>
        <v>0</v>
      </c>
      <c r="MA91">
        <f t="shared" ca="1" si="383"/>
        <v>1</v>
      </c>
      <c r="MB91">
        <f t="shared" si="384"/>
        <v>0</v>
      </c>
      <c r="MC91">
        <f t="shared" ca="1" si="385"/>
        <v>0</v>
      </c>
    </row>
    <row r="92" spans="1:341" x14ac:dyDescent="0.2">
      <c r="A92" t="s">
        <v>223</v>
      </c>
      <c r="N92">
        <f t="shared" ca="1" si="296"/>
        <v>0</v>
      </c>
      <c r="O92">
        <f t="shared" si="297"/>
        <v>0</v>
      </c>
      <c r="P92">
        <f t="shared" ca="1" si="298"/>
        <v>1</v>
      </c>
      <c r="Q92">
        <f t="shared" si="299"/>
        <v>0</v>
      </c>
      <c r="R92">
        <f t="shared" ca="1" si="300"/>
        <v>0</v>
      </c>
      <c r="AG92">
        <f t="shared" si="301"/>
        <v>0</v>
      </c>
      <c r="AH92">
        <f t="shared" ca="1" si="302"/>
        <v>0</v>
      </c>
      <c r="AI92">
        <f t="shared" si="303"/>
        <v>0</v>
      </c>
      <c r="AJ92">
        <f t="shared" ca="1" si="304"/>
        <v>1</v>
      </c>
      <c r="AK92">
        <f t="shared" ca="1" si="305"/>
        <v>0</v>
      </c>
      <c r="AZ92">
        <f t="shared" ca="1" si="306"/>
        <v>0</v>
      </c>
      <c r="BA92">
        <f t="shared" si="307"/>
        <v>0</v>
      </c>
      <c r="BB92">
        <f t="shared" ca="1" si="308"/>
        <v>1</v>
      </c>
      <c r="BC92">
        <f t="shared" si="309"/>
        <v>0</v>
      </c>
      <c r="BD92">
        <f t="shared" ca="1" si="310"/>
        <v>0</v>
      </c>
      <c r="BS92">
        <f t="shared" ca="1" si="311"/>
        <v>0</v>
      </c>
      <c r="BT92">
        <f t="shared" si="312"/>
        <v>0</v>
      </c>
      <c r="BU92">
        <f t="shared" ca="1" si="313"/>
        <v>1</v>
      </c>
      <c r="BV92">
        <f t="shared" si="314"/>
        <v>0</v>
      </c>
      <c r="BW92">
        <f t="shared" ca="1" si="315"/>
        <v>0</v>
      </c>
      <c r="CL92">
        <f t="shared" ca="1" si="316"/>
        <v>0</v>
      </c>
      <c r="CM92">
        <f t="shared" si="317"/>
        <v>0</v>
      </c>
      <c r="CN92">
        <f t="shared" ca="1" si="318"/>
        <v>1</v>
      </c>
      <c r="CO92">
        <f t="shared" si="319"/>
        <v>0</v>
      </c>
      <c r="CP92">
        <f t="shared" ca="1" si="320"/>
        <v>0</v>
      </c>
      <c r="DE92">
        <f t="shared" ca="1" si="321"/>
        <v>0</v>
      </c>
      <c r="DF92">
        <f t="shared" si="322"/>
        <v>0</v>
      </c>
      <c r="DG92">
        <f t="shared" ca="1" si="323"/>
        <v>1</v>
      </c>
      <c r="DH92">
        <f t="shared" si="324"/>
        <v>0</v>
      </c>
      <c r="DI92">
        <f t="shared" ca="1" si="325"/>
        <v>0</v>
      </c>
      <c r="DX92">
        <f t="shared" ca="1" si="326"/>
        <v>0</v>
      </c>
      <c r="DY92">
        <f t="shared" si="327"/>
        <v>0</v>
      </c>
      <c r="DZ92">
        <f t="shared" ca="1" si="328"/>
        <v>1</v>
      </c>
      <c r="EA92">
        <f t="shared" si="329"/>
        <v>0</v>
      </c>
      <c r="EB92">
        <f t="shared" ca="1" si="330"/>
        <v>0</v>
      </c>
      <c r="EQ92">
        <f t="shared" si="331"/>
        <v>0</v>
      </c>
      <c r="ER92">
        <f t="shared" ca="1" si="332"/>
        <v>0</v>
      </c>
      <c r="ES92">
        <f t="shared" si="333"/>
        <v>0</v>
      </c>
      <c r="ET92">
        <f t="shared" ca="1" si="334"/>
        <v>1</v>
      </c>
      <c r="EU92">
        <f t="shared" ca="1" si="335"/>
        <v>0</v>
      </c>
      <c r="FJ92">
        <f t="shared" si="336"/>
        <v>0</v>
      </c>
      <c r="FK92">
        <f t="shared" ca="1" si="337"/>
        <v>0</v>
      </c>
      <c r="FL92">
        <f t="shared" si="338"/>
        <v>0</v>
      </c>
      <c r="FM92">
        <f t="shared" ca="1" si="339"/>
        <v>1</v>
      </c>
      <c r="FN92">
        <f t="shared" ca="1" si="340"/>
        <v>0</v>
      </c>
      <c r="FV92" s="97"/>
      <c r="GC92">
        <f t="shared" si="341"/>
        <v>0</v>
      </c>
      <c r="GD92">
        <f t="shared" ca="1" si="342"/>
        <v>0</v>
      </c>
      <c r="GE92">
        <f t="shared" si="343"/>
        <v>0</v>
      </c>
      <c r="GF92">
        <f t="shared" ca="1" si="344"/>
        <v>1</v>
      </c>
      <c r="GG92">
        <f t="shared" ca="1" si="345"/>
        <v>0</v>
      </c>
      <c r="GO92" s="97"/>
      <c r="GV92">
        <f t="shared" ca="1" si="346"/>
        <v>0</v>
      </c>
      <c r="GW92">
        <f t="shared" si="347"/>
        <v>0</v>
      </c>
      <c r="GX92">
        <f t="shared" ca="1" si="348"/>
        <v>1</v>
      </c>
      <c r="GY92">
        <f t="shared" si="349"/>
        <v>0</v>
      </c>
      <c r="GZ92">
        <f t="shared" ca="1" si="350"/>
        <v>0</v>
      </c>
      <c r="HH92" s="97"/>
      <c r="HO92">
        <f t="shared" ca="1" si="351"/>
        <v>0</v>
      </c>
      <c r="HP92">
        <f t="shared" si="352"/>
        <v>0</v>
      </c>
      <c r="HQ92">
        <f t="shared" ca="1" si="353"/>
        <v>1</v>
      </c>
      <c r="HR92">
        <f t="shared" si="354"/>
        <v>0</v>
      </c>
      <c r="HS92">
        <f t="shared" ca="1" si="355"/>
        <v>0</v>
      </c>
      <c r="IA92" s="97"/>
      <c r="IH92">
        <f t="shared" ca="1" si="356"/>
        <v>0</v>
      </c>
      <c r="II92">
        <f t="shared" si="357"/>
        <v>0</v>
      </c>
      <c r="IJ92">
        <f t="shared" ca="1" si="358"/>
        <v>1</v>
      </c>
      <c r="IK92">
        <f t="shared" si="359"/>
        <v>0</v>
      </c>
      <c r="IL92">
        <f t="shared" ca="1" si="360"/>
        <v>0</v>
      </c>
      <c r="IT92" s="97"/>
      <c r="JA92">
        <f t="shared" si="361"/>
        <v>0</v>
      </c>
      <c r="JB92">
        <f t="shared" ca="1" si="362"/>
        <v>0</v>
      </c>
      <c r="JC92">
        <f t="shared" si="363"/>
        <v>0</v>
      </c>
      <c r="JD92">
        <f t="shared" ca="1" si="364"/>
        <v>1</v>
      </c>
      <c r="JE92">
        <f t="shared" ca="1" si="365"/>
        <v>0</v>
      </c>
      <c r="JM92" s="97"/>
      <c r="JT92">
        <f t="shared" si="366"/>
        <v>0</v>
      </c>
      <c r="JU92">
        <f t="shared" ca="1" si="367"/>
        <v>0</v>
      </c>
      <c r="JV92">
        <f t="shared" si="368"/>
        <v>0</v>
      </c>
      <c r="JW92">
        <f t="shared" ca="1" si="369"/>
        <v>1</v>
      </c>
      <c r="JX92">
        <f t="shared" ca="1" si="370"/>
        <v>0</v>
      </c>
      <c r="KF92" s="97"/>
      <c r="KM92">
        <f t="shared" si="371"/>
        <v>0</v>
      </c>
      <c r="KN92">
        <f t="shared" ca="1" si="372"/>
        <v>0</v>
      </c>
      <c r="KO92">
        <f t="shared" si="373"/>
        <v>0</v>
      </c>
      <c r="KP92">
        <f t="shared" ca="1" si="374"/>
        <v>1</v>
      </c>
      <c r="KQ92">
        <f t="shared" ca="1" si="375"/>
        <v>0</v>
      </c>
      <c r="KY92" s="97"/>
      <c r="LF92">
        <f t="shared" si="376"/>
        <v>0</v>
      </c>
      <c r="LG92">
        <f t="shared" ca="1" si="377"/>
        <v>0</v>
      </c>
      <c r="LH92">
        <f t="shared" si="378"/>
        <v>0</v>
      </c>
      <c r="LI92">
        <f t="shared" ca="1" si="379"/>
        <v>1</v>
      </c>
      <c r="LJ92">
        <f t="shared" ca="1" si="380"/>
        <v>0</v>
      </c>
      <c r="LR92" s="97"/>
      <c r="LY92">
        <f t="shared" si="381"/>
        <v>0</v>
      </c>
      <c r="LZ92">
        <f t="shared" ca="1" si="382"/>
        <v>0</v>
      </c>
      <c r="MA92">
        <f t="shared" si="383"/>
        <v>0</v>
      </c>
      <c r="MB92">
        <f t="shared" ca="1" si="384"/>
        <v>1</v>
      </c>
      <c r="MC92">
        <f t="shared" ca="1" si="385"/>
        <v>0</v>
      </c>
    </row>
    <row r="93" spans="1:341" x14ac:dyDescent="0.2">
      <c r="A93" t="s">
        <v>224</v>
      </c>
      <c r="N93">
        <f t="shared" si="296"/>
        <v>0</v>
      </c>
      <c r="O93">
        <f t="shared" ca="1" si="297"/>
        <v>0</v>
      </c>
      <c r="P93">
        <f t="shared" si="298"/>
        <v>0</v>
      </c>
      <c r="Q93">
        <f t="shared" ca="1" si="299"/>
        <v>1</v>
      </c>
      <c r="R93">
        <f t="shared" ca="1" si="300"/>
        <v>0</v>
      </c>
      <c r="AG93">
        <f t="shared" ca="1" si="301"/>
        <v>0</v>
      </c>
      <c r="AH93">
        <f t="shared" si="302"/>
        <v>0</v>
      </c>
      <c r="AI93">
        <f t="shared" ca="1" si="303"/>
        <v>1</v>
      </c>
      <c r="AJ93">
        <f t="shared" si="304"/>
        <v>0</v>
      </c>
      <c r="AK93">
        <f t="shared" ca="1" si="305"/>
        <v>0</v>
      </c>
      <c r="AZ93">
        <f t="shared" si="306"/>
        <v>0</v>
      </c>
      <c r="BA93">
        <f t="shared" ca="1" si="307"/>
        <v>0</v>
      </c>
      <c r="BB93">
        <f t="shared" si="308"/>
        <v>0</v>
      </c>
      <c r="BC93">
        <f t="shared" ca="1" si="309"/>
        <v>1</v>
      </c>
      <c r="BD93">
        <f t="shared" ca="1" si="310"/>
        <v>0</v>
      </c>
      <c r="BS93">
        <f t="shared" si="311"/>
        <v>0</v>
      </c>
      <c r="BT93">
        <f t="shared" ca="1" si="312"/>
        <v>0</v>
      </c>
      <c r="BU93">
        <f t="shared" si="313"/>
        <v>0</v>
      </c>
      <c r="BV93">
        <f t="shared" ca="1" si="314"/>
        <v>1</v>
      </c>
      <c r="BW93">
        <f t="shared" ca="1" si="315"/>
        <v>0</v>
      </c>
      <c r="CL93">
        <f t="shared" si="316"/>
        <v>0</v>
      </c>
      <c r="CM93">
        <f t="shared" ca="1" si="317"/>
        <v>0</v>
      </c>
      <c r="CN93">
        <f t="shared" si="318"/>
        <v>0</v>
      </c>
      <c r="CO93">
        <f t="shared" ca="1" si="319"/>
        <v>1</v>
      </c>
      <c r="CP93">
        <f t="shared" ca="1" si="320"/>
        <v>0</v>
      </c>
      <c r="DE93">
        <f t="shared" si="321"/>
        <v>0</v>
      </c>
      <c r="DF93">
        <f t="shared" ca="1" si="322"/>
        <v>0</v>
      </c>
      <c r="DG93">
        <f t="shared" si="323"/>
        <v>0</v>
      </c>
      <c r="DH93">
        <f t="shared" ca="1" si="324"/>
        <v>1</v>
      </c>
      <c r="DI93">
        <f t="shared" ca="1" si="325"/>
        <v>0</v>
      </c>
      <c r="DX93">
        <f t="shared" si="326"/>
        <v>0</v>
      </c>
      <c r="DY93">
        <f t="shared" ca="1" si="327"/>
        <v>0</v>
      </c>
      <c r="DZ93">
        <f t="shared" si="328"/>
        <v>0</v>
      </c>
      <c r="EA93">
        <f t="shared" ca="1" si="329"/>
        <v>1</v>
      </c>
      <c r="EB93">
        <f t="shared" ca="1" si="330"/>
        <v>0</v>
      </c>
      <c r="EQ93">
        <f t="shared" ca="1" si="331"/>
        <v>0</v>
      </c>
      <c r="ER93">
        <f t="shared" si="332"/>
        <v>0</v>
      </c>
      <c r="ES93">
        <f t="shared" ca="1" si="333"/>
        <v>1</v>
      </c>
      <c r="ET93">
        <f t="shared" si="334"/>
        <v>0</v>
      </c>
      <c r="EU93">
        <f t="shared" ca="1" si="335"/>
        <v>0</v>
      </c>
      <c r="FJ93">
        <f t="shared" ca="1" si="336"/>
        <v>0</v>
      </c>
      <c r="FK93">
        <f t="shared" si="337"/>
        <v>0</v>
      </c>
      <c r="FL93">
        <f t="shared" ca="1" si="338"/>
        <v>1</v>
      </c>
      <c r="FM93">
        <f t="shared" si="339"/>
        <v>0</v>
      </c>
      <c r="FN93">
        <f t="shared" ca="1" si="340"/>
        <v>0</v>
      </c>
      <c r="FV93" s="97"/>
      <c r="GC93">
        <f t="shared" ca="1" si="341"/>
        <v>0</v>
      </c>
      <c r="GD93">
        <f t="shared" si="342"/>
        <v>0</v>
      </c>
      <c r="GE93">
        <f t="shared" ca="1" si="343"/>
        <v>1</v>
      </c>
      <c r="GF93">
        <f t="shared" si="344"/>
        <v>0</v>
      </c>
      <c r="GG93">
        <f t="shared" ca="1" si="345"/>
        <v>0</v>
      </c>
      <c r="GO93" s="97"/>
      <c r="GV93">
        <f t="shared" si="346"/>
        <v>0</v>
      </c>
      <c r="GW93">
        <f t="shared" ca="1" si="347"/>
        <v>0</v>
      </c>
      <c r="GX93">
        <f t="shared" si="348"/>
        <v>0</v>
      </c>
      <c r="GY93">
        <f t="shared" ca="1" si="349"/>
        <v>1</v>
      </c>
      <c r="GZ93">
        <f t="shared" ca="1" si="350"/>
        <v>0</v>
      </c>
      <c r="HH93" s="97"/>
      <c r="HO93">
        <f t="shared" ca="1" si="351"/>
        <v>0</v>
      </c>
      <c r="HP93">
        <f t="shared" si="352"/>
        <v>0</v>
      </c>
      <c r="HQ93">
        <f t="shared" ca="1" si="353"/>
        <v>1</v>
      </c>
      <c r="HR93">
        <f t="shared" si="354"/>
        <v>0</v>
      </c>
      <c r="HS93">
        <f t="shared" ca="1" si="355"/>
        <v>0</v>
      </c>
      <c r="IA93" s="97"/>
      <c r="IH93">
        <f t="shared" si="356"/>
        <v>0</v>
      </c>
      <c r="II93">
        <f t="shared" ca="1" si="357"/>
        <v>0</v>
      </c>
      <c r="IJ93">
        <f t="shared" si="358"/>
        <v>0</v>
      </c>
      <c r="IK93">
        <f t="shared" ca="1" si="359"/>
        <v>1</v>
      </c>
      <c r="IL93">
        <f t="shared" ca="1" si="360"/>
        <v>0</v>
      </c>
      <c r="IT93" s="97"/>
      <c r="JA93">
        <f t="shared" ca="1" si="361"/>
        <v>0</v>
      </c>
      <c r="JB93">
        <f t="shared" si="362"/>
        <v>0</v>
      </c>
      <c r="JC93">
        <f t="shared" ca="1" si="363"/>
        <v>1</v>
      </c>
      <c r="JD93">
        <f t="shared" si="364"/>
        <v>0</v>
      </c>
      <c r="JE93">
        <f t="shared" ca="1" si="365"/>
        <v>0</v>
      </c>
      <c r="JM93" s="97"/>
      <c r="JT93">
        <f t="shared" si="366"/>
        <v>0</v>
      </c>
      <c r="JU93">
        <f t="shared" ca="1" si="367"/>
        <v>0</v>
      </c>
      <c r="JV93">
        <f t="shared" si="368"/>
        <v>0</v>
      </c>
      <c r="JW93">
        <f t="shared" ca="1" si="369"/>
        <v>1</v>
      </c>
      <c r="JX93">
        <f t="shared" ca="1" si="370"/>
        <v>0</v>
      </c>
      <c r="KF93" s="97"/>
      <c r="KM93">
        <f t="shared" ca="1" si="371"/>
        <v>0</v>
      </c>
      <c r="KN93">
        <f t="shared" si="372"/>
        <v>0</v>
      </c>
      <c r="KO93">
        <f t="shared" ca="1" si="373"/>
        <v>1</v>
      </c>
      <c r="KP93">
        <f t="shared" si="374"/>
        <v>0</v>
      </c>
      <c r="KQ93">
        <f t="shared" ca="1" si="375"/>
        <v>0</v>
      </c>
      <c r="KY93" s="97"/>
      <c r="LF93">
        <f t="shared" ca="1" si="376"/>
        <v>0</v>
      </c>
      <c r="LG93">
        <f t="shared" si="377"/>
        <v>0</v>
      </c>
      <c r="LH93">
        <f t="shared" ca="1" si="378"/>
        <v>1</v>
      </c>
      <c r="LI93">
        <f t="shared" si="379"/>
        <v>0</v>
      </c>
      <c r="LJ93">
        <f t="shared" ca="1" si="380"/>
        <v>0</v>
      </c>
      <c r="LR93" s="97"/>
      <c r="LY93">
        <f t="shared" ca="1" si="381"/>
        <v>0</v>
      </c>
      <c r="LZ93">
        <f t="shared" si="382"/>
        <v>0</v>
      </c>
      <c r="MA93">
        <f t="shared" ca="1" si="383"/>
        <v>1</v>
      </c>
      <c r="MB93">
        <f t="shared" si="384"/>
        <v>0</v>
      </c>
      <c r="MC93">
        <f t="shared" ca="1" si="385"/>
        <v>0</v>
      </c>
    </row>
    <row r="94" spans="1:341" x14ac:dyDescent="0.2">
      <c r="A94" t="s">
        <v>225</v>
      </c>
      <c r="N94">
        <f t="shared" ca="1" si="296"/>
        <v>0</v>
      </c>
      <c r="O94">
        <f t="shared" si="297"/>
        <v>0</v>
      </c>
      <c r="P94">
        <f t="shared" ca="1" si="298"/>
        <v>1</v>
      </c>
      <c r="Q94">
        <f t="shared" si="299"/>
        <v>0</v>
      </c>
      <c r="R94">
        <f t="shared" ca="1" si="300"/>
        <v>0</v>
      </c>
      <c r="AG94">
        <f t="shared" si="301"/>
        <v>0</v>
      </c>
      <c r="AH94">
        <f t="shared" ca="1" si="302"/>
        <v>0</v>
      </c>
      <c r="AI94">
        <f t="shared" si="303"/>
        <v>0</v>
      </c>
      <c r="AJ94">
        <f t="shared" ca="1" si="304"/>
        <v>1</v>
      </c>
      <c r="AK94">
        <f t="shared" ca="1" si="305"/>
        <v>0</v>
      </c>
      <c r="AZ94">
        <f t="shared" ca="1" si="306"/>
        <v>0</v>
      </c>
      <c r="BA94">
        <f t="shared" si="307"/>
        <v>0</v>
      </c>
      <c r="BB94">
        <f t="shared" ca="1" si="308"/>
        <v>1</v>
      </c>
      <c r="BC94">
        <f t="shared" si="309"/>
        <v>0</v>
      </c>
      <c r="BD94">
        <f t="shared" ca="1" si="310"/>
        <v>0</v>
      </c>
      <c r="BS94">
        <f t="shared" ca="1" si="311"/>
        <v>0</v>
      </c>
      <c r="BT94">
        <f t="shared" si="312"/>
        <v>0</v>
      </c>
      <c r="BU94">
        <f t="shared" ca="1" si="313"/>
        <v>1</v>
      </c>
      <c r="BV94">
        <f t="shared" si="314"/>
        <v>0</v>
      </c>
      <c r="BW94">
        <f t="shared" ca="1" si="315"/>
        <v>0</v>
      </c>
      <c r="CL94">
        <f t="shared" ca="1" si="316"/>
        <v>0</v>
      </c>
      <c r="CM94">
        <f t="shared" si="317"/>
        <v>0</v>
      </c>
      <c r="CN94">
        <f t="shared" ca="1" si="318"/>
        <v>1</v>
      </c>
      <c r="CO94">
        <f t="shared" si="319"/>
        <v>0</v>
      </c>
      <c r="CP94">
        <f t="shared" ca="1" si="320"/>
        <v>0</v>
      </c>
      <c r="DE94">
        <f t="shared" ca="1" si="321"/>
        <v>0</v>
      </c>
      <c r="DF94">
        <f t="shared" si="322"/>
        <v>0</v>
      </c>
      <c r="DG94">
        <f t="shared" ca="1" si="323"/>
        <v>1</v>
      </c>
      <c r="DH94">
        <f t="shared" si="324"/>
        <v>0</v>
      </c>
      <c r="DI94">
        <f t="shared" ca="1" si="325"/>
        <v>0</v>
      </c>
      <c r="DX94">
        <f t="shared" ca="1" si="326"/>
        <v>0</v>
      </c>
      <c r="DY94">
        <f t="shared" si="327"/>
        <v>0</v>
      </c>
      <c r="DZ94">
        <f t="shared" ca="1" si="328"/>
        <v>1</v>
      </c>
      <c r="EA94">
        <f t="shared" si="329"/>
        <v>0</v>
      </c>
      <c r="EB94">
        <f t="shared" ca="1" si="330"/>
        <v>0</v>
      </c>
      <c r="EQ94">
        <f t="shared" si="331"/>
        <v>0</v>
      </c>
      <c r="ER94">
        <f t="shared" ca="1" si="332"/>
        <v>0</v>
      </c>
      <c r="ES94">
        <f t="shared" si="333"/>
        <v>0</v>
      </c>
      <c r="ET94">
        <f t="shared" ca="1" si="334"/>
        <v>1</v>
      </c>
      <c r="EU94">
        <f t="shared" ca="1" si="335"/>
        <v>0</v>
      </c>
      <c r="FJ94">
        <f t="shared" si="336"/>
        <v>0</v>
      </c>
      <c r="FK94">
        <f t="shared" ca="1" si="337"/>
        <v>0</v>
      </c>
      <c r="FL94">
        <f t="shared" si="338"/>
        <v>0</v>
      </c>
      <c r="FM94">
        <f t="shared" ca="1" si="339"/>
        <v>1</v>
      </c>
      <c r="FN94">
        <f t="shared" ca="1" si="340"/>
        <v>0</v>
      </c>
      <c r="FV94" s="97"/>
      <c r="GC94">
        <f t="shared" si="341"/>
        <v>0</v>
      </c>
      <c r="GD94">
        <f t="shared" ca="1" si="342"/>
        <v>0</v>
      </c>
      <c r="GE94">
        <f t="shared" si="343"/>
        <v>0</v>
      </c>
      <c r="GF94">
        <f t="shared" ca="1" si="344"/>
        <v>1</v>
      </c>
      <c r="GG94">
        <f t="shared" ca="1" si="345"/>
        <v>0</v>
      </c>
      <c r="GO94" s="97"/>
      <c r="GV94">
        <f t="shared" ca="1" si="346"/>
        <v>0</v>
      </c>
      <c r="GW94">
        <f t="shared" si="347"/>
        <v>0</v>
      </c>
      <c r="GX94">
        <f t="shared" ca="1" si="348"/>
        <v>1</v>
      </c>
      <c r="GY94">
        <f t="shared" si="349"/>
        <v>0</v>
      </c>
      <c r="GZ94">
        <f t="shared" ca="1" si="350"/>
        <v>0</v>
      </c>
      <c r="HH94" s="97"/>
      <c r="HO94">
        <f t="shared" si="351"/>
        <v>0</v>
      </c>
      <c r="HP94">
        <f t="shared" ca="1" si="352"/>
        <v>0</v>
      </c>
      <c r="HQ94">
        <f t="shared" si="353"/>
        <v>0</v>
      </c>
      <c r="HR94">
        <f t="shared" ca="1" si="354"/>
        <v>1</v>
      </c>
      <c r="HS94">
        <f t="shared" ca="1" si="355"/>
        <v>0</v>
      </c>
      <c r="IA94" s="97"/>
      <c r="IH94">
        <f t="shared" ca="1" si="356"/>
        <v>0</v>
      </c>
      <c r="II94">
        <f t="shared" si="357"/>
        <v>0</v>
      </c>
      <c r="IJ94">
        <f t="shared" ca="1" si="358"/>
        <v>1</v>
      </c>
      <c r="IK94">
        <f t="shared" si="359"/>
        <v>0</v>
      </c>
      <c r="IL94">
        <f t="shared" ca="1" si="360"/>
        <v>0</v>
      </c>
      <c r="IT94" s="97"/>
      <c r="JA94">
        <f t="shared" si="361"/>
        <v>0</v>
      </c>
      <c r="JB94">
        <f t="shared" ca="1" si="362"/>
        <v>0</v>
      </c>
      <c r="JC94">
        <f t="shared" si="363"/>
        <v>0</v>
      </c>
      <c r="JD94">
        <f t="shared" ca="1" si="364"/>
        <v>1</v>
      </c>
      <c r="JE94">
        <f t="shared" ca="1" si="365"/>
        <v>0</v>
      </c>
      <c r="JM94" s="97"/>
      <c r="JT94">
        <f t="shared" ca="1" si="366"/>
        <v>0</v>
      </c>
      <c r="JU94">
        <f t="shared" si="367"/>
        <v>0</v>
      </c>
      <c r="JV94">
        <f t="shared" ca="1" si="368"/>
        <v>1</v>
      </c>
      <c r="JW94">
        <f t="shared" si="369"/>
        <v>0</v>
      </c>
      <c r="JX94">
        <f t="shared" ca="1" si="370"/>
        <v>0</v>
      </c>
      <c r="KF94" s="97"/>
      <c r="KM94">
        <f t="shared" si="371"/>
        <v>0</v>
      </c>
      <c r="KN94">
        <f t="shared" ca="1" si="372"/>
        <v>0</v>
      </c>
      <c r="KO94">
        <f t="shared" si="373"/>
        <v>0</v>
      </c>
      <c r="KP94">
        <f t="shared" ca="1" si="374"/>
        <v>1</v>
      </c>
      <c r="KQ94">
        <f t="shared" ca="1" si="375"/>
        <v>0</v>
      </c>
      <c r="KY94" s="97"/>
      <c r="LF94">
        <f t="shared" si="376"/>
        <v>0</v>
      </c>
      <c r="LG94">
        <f t="shared" ca="1" si="377"/>
        <v>0</v>
      </c>
      <c r="LH94">
        <f t="shared" si="378"/>
        <v>0</v>
      </c>
      <c r="LI94">
        <f t="shared" ca="1" si="379"/>
        <v>1</v>
      </c>
      <c r="LJ94">
        <f t="shared" ca="1" si="380"/>
        <v>0</v>
      </c>
      <c r="LR94" s="97"/>
      <c r="LY94">
        <f t="shared" si="381"/>
        <v>0</v>
      </c>
      <c r="LZ94">
        <f t="shared" ca="1" si="382"/>
        <v>0</v>
      </c>
      <c r="MA94">
        <f t="shared" si="383"/>
        <v>0</v>
      </c>
      <c r="MB94">
        <f t="shared" ca="1" si="384"/>
        <v>1</v>
      </c>
      <c r="MC94">
        <f t="shared" ca="1" si="385"/>
        <v>0</v>
      </c>
    </row>
    <row r="95" spans="1:341" x14ac:dyDescent="0.2">
      <c r="A95" t="s">
        <v>226</v>
      </c>
      <c r="N95">
        <f t="shared" si="296"/>
        <v>0</v>
      </c>
      <c r="O95">
        <f t="shared" ca="1" si="297"/>
        <v>0</v>
      </c>
      <c r="P95">
        <f t="shared" si="298"/>
        <v>0</v>
      </c>
      <c r="Q95">
        <f t="shared" ca="1" si="299"/>
        <v>1</v>
      </c>
      <c r="R95">
        <f t="shared" ca="1" si="300"/>
        <v>0</v>
      </c>
      <c r="AG95">
        <f t="shared" ca="1" si="301"/>
        <v>0</v>
      </c>
      <c r="AH95">
        <f t="shared" si="302"/>
        <v>0</v>
      </c>
      <c r="AI95">
        <f t="shared" ca="1" si="303"/>
        <v>1</v>
      </c>
      <c r="AJ95">
        <f t="shared" si="304"/>
        <v>0</v>
      </c>
      <c r="AK95">
        <f t="shared" ca="1" si="305"/>
        <v>0</v>
      </c>
      <c r="AZ95">
        <f t="shared" si="306"/>
        <v>0</v>
      </c>
      <c r="BA95">
        <f t="shared" ca="1" si="307"/>
        <v>0</v>
      </c>
      <c r="BB95">
        <f t="shared" si="308"/>
        <v>0</v>
      </c>
      <c r="BC95">
        <f t="shared" ca="1" si="309"/>
        <v>1</v>
      </c>
      <c r="BD95">
        <f t="shared" ca="1" si="310"/>
        <v>0</v>
      </c>
      <c r="BS95">
        <f t="shared" si="311"/>
        <v>0</v>
      </c>
      <c r="BT95">
        <f t="shared" ca="1" si="312"/>
        <v>0</v>
      </c>
      <c r="BU95">
        <f t="shared" si="313"/>
        <v>0</v>
      </c>
      <c r="BV95">
        <f t="shared" ca="1" si="314"/>
        <v>1</v>
      </c>
      <c r="BW95">
        <f t="shared" ca="1" si="315"/>
        <v>0</v>
      </c>
      <c r="CL95">
        <f t="shared" si="316"/>
        <v>0</v>
      </c>
      <c r="CM95">
        <f t="shared" ca="1" si="317"/>
        <v>0</v>
      </c>
      <c r="CN95">
        <f t="shared" si="318"/>
        <v>0</v>
      </c>
      <c r="CO95">
        <f t="shared" ca="1" si="319"/>
        <v>1</v>
      </c>
      <c r="CP95">
        <f t="shared" ca="1" si="320"/>
        <v>0</v>
      </c>
      <c r="DE95">
        <f t="shared" si="321"/>
        <v>0</v>
      </c>
      <c r="DF95">
        <f t="shared" ca="1" si="322"/>
        <v>0</v>
      </c>
      <c r="DG95">
        <f t="shared" si="323"/>
        <v>0</v>
      </c>
      <c r="DH95">
        <f t="shared" ca="1" si="324"/>
        <v>1</v>
      </c>
      <c r="DI95">
        <f t="shared" ca="1" si="325"/>
        <v>0</v>
      </c>
      <c r="DX95">
        <f t="shared" si="326"/>
        <v>0</v>
      </c>
      <c r="DY95">
        <f t="shared" ca="1" si="327"/>
        <v>0</v>
      </c>
      <c r="DZ95">
        <f t="shared" si="328"/>
        <v>0</v>
      </c>
      <c r="EA95">
        <f t="shared" ca="1" si="329"/>
        <v>1</v>
      </c>
      <c r="EB95">
        <f t="shared" ca="1" si="330"/>
        <v>0</v>
      </c>
      <c r="EQ95">
        <f t="shared" ca="1" si="331"/>
        <v>0</v>
      </c>
      <c r="ER95">
        <f t="shared" si="332"/>
        <v>0</v>
      </c>
      <c r="ES95">
        <f t="shared" ca="1" si="333"/>
        <v>1</v>
      </c>
      <c r="ET95">
        <f t="shared" si="334"/>
        <v>0</v>
      </c>
      <c r="EU95">
        <f t="shared" ca="1" si="335"/>
        <v>0</v>
      </c>
      <c r="FJ95">
        <f t="shared" ca="1" si="336"/>
        <v>0</v>
      </c>
      <c r="FK95">
        <f t="shared" si="337"/>
        <v>0</v>
      </c>
      <c r="FL95">
        <f t="shared" ca="1" si="338"/>
        <v>1</v>
      </c>
      <c r="FM95">
        <f t="shared" si="339"/>
        <v>0</v>
      </c>
      <c r="FN95">
        <f t="shared" ca="1" si="340"/>
        <v>0</v>
      </c>
      <c r="FV95" s="97"/>
      <c r="GC95">
        <f t="shared" ca="1" si="341"/>
        <v>0</v>
      </c>
      <c r="GD95">
        <f t="shared" si="342"/>
        <v>0</v>
      </c>
      <c r="GE95">
        <f t="shared" ca="1" si="343"/>
        <v>1</v>
      </c>
      <c r="GF95">
        <f t="shared" si="344"/>
        <v>0</v>
      </c>
      <c r="GG95">
        <f t="shared" ca="1" si="345"/>
        <v>0</v>
      </c>
      <c r="GO95" s="97"/>
      <c r="GV95">
        <f t="shared" si="346"/>
        <v>0</v>
      </c>
      <c r="GW95">
        <f t="shared" ca="1" si="347"/>
        <v>0</v>
      </c>
      <c r="GX95">
        <f t="shared" si="348"/>
        <v>0</v>
      </c>
      <c r="GY95">
        <f t="shared" ca="1" si="349"/>
        <v>1</v>
      </c>
      <c r="GZ95">
        <f t="shared" ca="1" si="350"/>
        <v>0</v>
      </c>
      <c r="HH95" s="97"/>
      <c r="HO95">
        <f t="shared" ca="1" si="351"/>
        <v>0</v>
      </c>
      <c r="HP95">
        <f t="shared" si="352"/>
        <v>0</v>
      </c>
      <c r="HQ95">
        <f t="shared" ca="1" si="353"/>
        <v>1</v>
      </c>
      <c r="HR95">
        <f t="shared" si="354"/>
        <v>0</v>
      </c>
      <c r="HS95">
        <f t="shared" ca="1" si="355"/>
        <v>0</v>
      </c>
      <c r="IA95" s="97"/>
      <c r="IH95">
        <f t="shared" si="356"/>
        <v>0</v>
      </c>
      <c r="II95">
        <f t="shared" ca="1" si="357"/>
        <v>0</v>
      </c>
      <c r="IJ95">
        <f t="shared" si="358"/>
        <v>0</v>
      </c>
      <c r="IK95">
        <f t="shared" ca="1" si="359"/>
        <v>1</v>
      </c>
      <c r="IL95">
        <f t="shared" ca="1" si="360"/>
        <v>0</v>
      </c>
      <c r="IT95" s="97"/>
      <c r="JA95">
        <f t="shared" ca="1" si="361"/>
        <v>0</v>
      </c>
      <c r="JB95">
        <f t="shared" si="362"/>
        <v>0</v>
      </c>
      <c r="JC95">
        <f t="shared" ca="1" si="363"/>
        <v>1</v>
      </c>
      <c r="JD95">
        <f t="shared" si="364"/>
        <v>0</v>
      </c>
      <c r="JE95">
        <f t="shared" ca="1" si="365"/>
        <v>0</v>
      </c>
      <c r="JM95" s="97"/>
      <c r="JT95">
        <f t="shared" si="366"/>
        <v>0</v>
      </c>
      <c r="JU95">
        <f t="shared" ca="1" si="367"/>
        <v>0</v>
      </c>
      <c r="JV95">
        <f t="shared" si="368"/>
        <v>0</v>
      </c>
      <c r="JW95">
        <f t="shared" ca="1" si="369"/>
        <v>1</v>
      </c>
      <c r="JX95">
        <f t="shared" ca="1" si="370"/>
        <v>0</v>
      </c>
      <c r="KF95" s="97"/>
      <c r="KM95">
        <f t="shared" ca="1" si="371"/>
        <v>0</v>
      </c>
      <c r="KN95">
        <f t="shared" si="372"/>
        <v>0</v>
      </c>
      <c r="KO95">
        <f t="shared" ca="1" si="373"/>
        <v>1</v>
      </c>
      <c r="KP95">
        <f t="shared" si="374"/>
        <v>0</v>
      </c>
      <c r="KQ95">
        <f t="shared" ca="1" si="375"/>
        <v>0</v>
      </c>
      <c r="KY95" s="97"/>
      <c r="LF95">
        <f t="shared" ca="1" si="376"/>
        <v>0</v>
      </c>
      <c r="LG95">
        <f t="shared" si="377"/>
        <v>0</v>
      </c>
      <c r="LH95">
        <f t="shared" ca="1" si="378"/>
        <v>1</v>
      </c>
      <c r="LI95">
        <f t="shared" si="379"/>
        <v>0</v>
      </c>
      <c r="LJ95">
        <f t="shared" ca="1" si="380"/>
        <v>0</v>
      </c>
      <c r="LR95" s="97"/>
      <c r="LY95">
        <f t="shared" ca="1" si="381"/>
        <v>0</v>
      </c>
      <c r="LZ95">
        <f t="shared" si="382"/>
        <v>0</v>
      </c>
      <c r="MA95">
        <f t="shared" ca="1" si="383"/>
        <v>1</v>
      </c>
      <c r="MB95">
        <f t="shared" si="384"/>
        <v>0</v>
      </c>
      <c r="MC95">
        <f t="shared" ca="1" si="385"/>
        <v>0</v>
      </c>
    </row>
    <row r="96" spans="1:341" x14ac:dyDescent="0.2">
      <c r="A96" t="s">
        <v>227</v>
      </c>
      <c r="N96">
        <f t="shared" ca="1" si="296"/>
        <v>0</v>
      </c>
      <c r="O96">
        <f t="shared" si="297"/>
        <v>0</v>
      </c>
      <c r="P96">
        <f t="shared" ca="1" si="298"/>
        <v>1</v>
      </c>
      <c r="Q96">
        <f t="shared" si="299"/>
        <v>0</v>
      </c>
      <c r="R96">
        <f t="shared" ca="1" si="300"/>
        <v>0</v>
      </c>
      <c r="AG96">
        <f t="shared" si="301"/>
        <v>0</v>
      </c>
      <c r="AH96">
        <f t="shared" ca="1" si="302"/>
        <v>0</v>
      </c>
      <c r="AI96">
        <f t="shared" si="303"/>
        <v>0</v>
      </c>
      <c r="AJ96">
        <f t="shared" ca="1" si="304"/>
        <v>1</v>
      </c>
      <c r="AK96">
        <f t="shared" ca="1" si="305"/>
        <v>0</v>
      </c>
      <c r="AZ96">
        <f t="shared" ca="1" si="306"/>
        <v>0</v>
      </c>
      <c r="BA96">
        <f t="shared" si="307"/>
        <v>0</v>
      </c>
      <c r="BB96">
        <f t="shared" ca="1" si="308"/>
        <v>1</v>
      </c>
      <c r="BC96">
        <f t="shared" si="309"/>
        <v>0</v>
      </c>
      <c r="BD96">
        <f t="shared" ca="1" si="310"/>
        <v>0</v>
      </c>
      <c r="BS96">
        <f t="shared" si="311"/>
        <v>0</v>
      </c>
      <c r="BT96">
        <f t="shared" ca="1" si="312"/>
        <v>0</v>
      </c>
      <c r="BU96">
        <f t="shared" si="313"/>
        <v>0</v>
      </c>
      <c r="BV96">
        <f t="shared" ca="1" si="314"/>
        <v>1</v>
      </c>
      <c r="BW96">
        <f t="shared" ca="1" si="315"/>
        <v>0</v>
      </c>
      <c r="CL96">
        <f t="shared" ca="1" si="316"/>
        <v>0</v>
      </c>
      <c r="CM96">
        <f t="shared" si="317"/>
        <v>0</v>
      </c>
      <c r="CN96">
        <f t="shared" ca="1" si="318"/>
        <v>1</v>
      </c>
      <c r="CO96">
        <f t="shared" si="319"/>
        <v>0</v>
      </c>
      <c r="CP96">
        <f t="shared" ca="1" si="320"/>
        <v>0</v>
      </c>
      <c r="DE96">
        <f t="shared" ca="1" si="321"/>
        <v>0</v>
      </c>
      <c r="DF96">
        <f t="shared" si="322"/>
        <v>0</v>
      </c>
      <c r="DG96">
        <f t="shared" ca="1" si="323"/>
        <v>1</v>
      </c>
      <c r="DH96">
        <f t="shared" si="324"/>
        <v>0</v>
      </c>
      <c r="DI96">
        <f t="shared" ca="1" si="325"/>
        <v>0</v>
      </c>
      <c r="DX96">
        <f t="shared" ca="1" si="326"/>
        <v>0</v>
      </c>
      <c r="DY96">
        <f t="shared" si="327"/>
        <v>0</v>
      </c>
      <c r="DZ96">
        <f t="shared" ca="1" si="328"/>
        <v>1</v>
      </c>
      <c r="EA96">
        <f t="shared" si="329"/>
        <v>0</v>
      </c>
      <c r="EB96">
        <f t="shared" ca="1" si="330"/>
        <v>0</v>
      </c>
      <c r="EQ96">
        <f t="shared" si="331"/>
        <v>0</v>
      </c>
      <c r="ER96">
        <f t="shared" ca="1" si="332"/>
        <v>0</v>
      </c>
      <c r="ES96">
        <f t="shared" si="333"/>
        <v>0</v>
      </c>
      <c r="ET96">
        <f t="shared" ca="1" si="334"/>
        <v>1</v>
      </c>
      <c r="EU96">
        <f t="shared" ca="1" si="335"/>
        <v>0</v>
      </c>
      <c r="FJ96">
        <f t="shared" si="336"/>
        <v>0</v>
      </c>
      <c r="FK96">
        <f t="shared" ca="1" si="337"/>
        <v>0</v>
      </c>
      <c r="FL96">
        <f t="shared" si="338"/>
        <v>0</v>
      </c>
      <c r="FM96">
        <f t="shared" ca="1" si="339"/>
        <v>1</v>
      </c>
      <c r="FN96">
        <f t="shared" ca="1" si="340"/>
        <v>0</v>
      </c>
      <c r="FV96" s="97"/>
      <c r="GC96">
        <f t="shared" si="341"/>
        <v>0</v>
      </c>
      <c r="GD96">
        <f t="shared" ca="1" si="342"/>
        <v>0</v>
      </c>
      <c r="GE96">
        <f t="shared" si="343"/>
        <v>0</v>
      </c>
      <c r="GF96">
        <f t="shared" ca="1" si="344"/>
        <v>1</v>
      </c>
      <c r="GG96">
        <f t="shared" ca="1" si="345"/>
        <v>0</v>
      </c>
      <c r="GO96" s="97"/>
      <c r="GV96">
        <f t="shared" ca="1" si="346"/>
        <v>0</v>
      </c>
      <c r="GW96">
        <f t="shared" si="347"/>
        <v>0</v>
      </c>
      <c r="GX96">
        <f t="shared" ca="1" si="348"/>
        <v>1</v>
      </c>
      <c r="GY96">
        <f t="shared" si="349"/>
        <v>0</v>
      </c>
      <c r="GZ96">
        <f t="shared" ca="1" si="350"/>
        <v>0</v>
      </c>
      <c r="HH96" s="97"/>
      <c r="HO96">
        <f t="shared" si="351"/>
        <v>0</v>
      </c>
      <c r="HP96">
        <f t="shared" ca="1" si="352"/>
        <v>0</v>
      </c>
      <c r="HQ96">
        <f t="shared" si="353"/>
        <v>0</v>
      </c>
      <c r="HR96">
        <f t="shared" ca="1" si="354"/>
        <v>1</v>
      </c>
      <c r="HS96">
        <f t="shared" ca="1" si="355"/>
        <v>0</v>
      </c>
      <c r="IA96" s="97"/>
      <c r="IH96">
        <f t="shared" ca="1" si="356"/>
        <v>0</v>
      </c>
      <c r="II96">
        <f t="shared" si="357"/>
        <v>0</v>
      </c>
      <c r="IJ96">
        <f t="shared" ca="1" si="358"/>
        <v>1</v>
      </c>
      <c r="IK96">
        <f t="shared" si="359"/>
        <v>0</v>
      </c>
      <c r="IL96">
        <f t="shared" ca="1" si="360"/>
        <v>0</v>
      </c>
      <c r="IT96" s="97"/>
      <c r="JA96">
        <f t="shared" si="361"/>
        <v>0</v>
      </c>
      <c r="JB96">
        <f t="shared" ca="1" si="362"/>
        <v>0</v>
      </c>
      <c r="JC96">
        <f t="shared" si="363"/>
        <v>0</v>
      </c>
      <c r="JD96">
        <f t="shared" ca="1" si="364"/>
        <v>1</v>
      </c>
      <c r="JE96">
        <f t="shared" ca="1" si="365"/>
        <v>0</v>
      </c>
      <c r="JM96" s="97"/>
      <c r="JT96">
        <f t="shared" ca="1" si="366"/>
        <v>0</v>
      </c>
      <c r="JU96">
        <f t="shared" si="367"/>
        <v>0</v>
      </c>
      <c r="JV96">
        <f t="shared" ca="1" si="368"/>
        <v>1</v>
      </c>
      <c r="JW96">
        <f t="shared" si="369"/>
        <v>0</v>
      </c>
      <c r="JX96">
        <f t="shared" ca="1" si="370"/>
        <v>0</v>
      </c>
      <c r="KF96" s="97"/>
      <c r="KM96">
        <f t="shared" si="371"/>
        <v>0</v>
      </c>
      <c r="KN96">
        <f t="shared" ca="1" si="372"/>
        <v>0</v>
      </c>
      <c r="KO96">
        <f t="shared" si="373"/>
        <v>0</v>
      </c>
      <c r="KP96">
        <f t="shared" ca="1" si="374"/>
        <v>1</v>
      </c>
      <c r="KQ96">
        <f t="shared" ca="1" si="375"/>
        <v>0</v>
      </c>
      <c r="KY96" s="97"/>
      <c r="LF96">
        <f t="shared" ca="1" si="376"/>
        <v>0</v>
      </c>
      <c r="LG96">
        <f t="shared" si="377"/>
        <v>0</v>
      </c>
      <c r="LH96">
        <f t="shared" ca="1" si="378"/>
        <v>1</v>
      </c>
      <c r="LI96">
        <f t="shared" si="379"/>
        <v>0</v>
      </c>
      <c r="LJ96">
        <f t="shared" ca="1" si="380"/>
        <v>0</v>
      </c>
      <c r="LR96" s="97"/>
      <c r="LY96">
        <f t="shared" si="381"/>
        <v>0</v>
      </c>
      <c r="LZ96">
        <f t="shared" ca="1" si="382"/>
        <v>0</v>
      </c>
      <c r="MA96">
        <f t="shared" si="383"/>
        <v>0</v>
      </c>
      <c r="MB96">
        <f t="shared" ca="1" si="384"/>
        <v>1</v>
      </c>
      <c r="MC96">
        <f t="shared" ca="1" si="385"/>
        <v>0</v>
      </c>
    </row>
    <row r="97" spans="1:341" x14ac:dyDescent="0.2">
      <c r="A97" t="s">
        <v>228</v>
      </c>
      <c r="N97">
        <f t="shared" si="296"/>
        <v>0</v>
      </c>
      <c r="O97">
        <f t="shared" ca="1" si="297"/>
        <v>0</v>
      </c>
      <c r="P97">
        <f t="shared" si="298"/>
        <v>0</v>
      </c>
      <c r="Q97">
        <f t="shared" ca="1" si="299"/>
        <v>1</v>
      </c>
      <c r="R97">
        <f t="shared" ca="1" si="300"/>
        <v>0</v>
      </c>
      <c r="AG97">
        <f t="shared" ca="1" si="301"/>
        <v>0</v>
      </c>
      <c r="AH97">
        <f t="shared" si="302"/>
        <v>0</v>
      </c>
      <c r="AI97">
        <f t="shared" ca="1" si="303"/>
        <v>1</v>
      </c>
      <c r="AJ97">
        <f t="shared" si="304"/>
        <v>0</v>
      </c>
      <c r="AK97">
        <f t="shared" ca="1" si="305"/>
        <v>0</v>
      </c>
      <c r="AZ97">
        <f t="shared" si="306"/>
        <v>0</v>
      </c>
      <c r="BA97">
        <f t="shared" ca="1" si="307"/>
        <v>0</v>
      </c>
      <c r="BB97">
        <f t="shared" si="308"/>
        <v>0</v>
      </c>
      <c r="BC97">
        <f t="shared" ca="1" si="309"/>
        <v>1</v>
      </c>
      <c r="BD97">
        <f t="shared" ca="1" si="310"/>
        <v>0</v>
      </c>
      <c r="BS97">
        <f t="shared" ca="1" si="311"/>
        <v>0</v>
      </c>
      <c r="BT97">
        <f t="shared" si="312"/>
        <v>0</v>
      </c>
      <c r="BU97">
        <f t="shared" ca="1" si="313"/>
        <v>1</v>
      </c>
      <c r="BV97">
        <f t="shared" si="314"/>
        <v>0</v>
      </c>
      <c r="BW97">
        <f t="shared" ca="1" si="315"/>
        <v>0</v>
      </c>
      <c r="CL97">
        <f t="shared" si="316"/>
        <v>0</v>
      </c>
      <c r="CM97">
        <f t="shared" ca="1" si="317"/>
        <v>0</v>
      </c>
      <c r="CN97">
        <f t="shared" si="318"/>
        <v>0</v>
      </c>
      <c r="CO97">
        <f t="shared" ca="1" si="319"/>
        <v>1</v>
      </c>
      <c r="CP97">
        <f t="shared" ca="1" si="320"/>
        <v>0</v>
      </c>
      <c r="DE97">
        <f t="shared" si="321"/>
        <v>0</v>
      </c>
      <c r="DF97">
        <f t="shared" ca="1" si="322"/>
        <v>0</v>
      </c>
      <c r="DG97">
        <f t="shared" si="323"/>
        <v>0</v>
      </c>
      <c r="DH97">
        <f t="shared" ca="1" si="324"/>
        <v>1</v>
      </c>
      <c r="DI97">
        <f t="shared" ca="1" si="325"/>
        <v>0</v>
      </c>
      <c r="DX97">
        <f t="shared" si="326"/>
        <v>0</v>
      </c>
      <c r="DY97">
        <f t="shared" ca="1" si="327"/>
        <v>0</v>
      </c>
      <c r="DZ97">
        <f t="shared" si="328"/>
        <v>0</v>
      </c>
      <c r="EA97">
        <f t="shared" ca="1" si="329"/>
        <v>1</v>
      </c>
      <c r="EB97">
        <f t="shared" ca="1" si="330"/>
        <v>0</v>
      </c>
      <c r="EQ97">
        <f t="shared" ca="1" si="331"/>
        <v>0</v>
      </c>
      <c r="ER97">
        <f t="shared" si="332"/>
        <v>0</v>
      </c>
      <c r="ES97">
        <f t="shared" ca="1" si="333"/>
        <v>1</v>
      </c>
      <c r="ET97">
        <f t="shared" si="334"/>
        <v>0</v>
      </c>
      <c r="EU97">
        <f t="shared" ca="1" si="335"/>
        <v>0</v>
      </c>
      <c r="FJ97">
        <f t="shared" ca="1" si="336"/>
        <v>0</v>
      </c>
      <c r="FK97">
        <f t="shared" si="337"/>
        <v>0</v>
      </c>
      <c r="FL97">
        <f t="shared" ca="1" si="338"/>
        <v>1</v>
      </c>
      <c r="FM97">
        <f t="shared" si="339"/>
        <v>0</v>
      </c>
      <c r="FN97">
        <f t="shared" ca="1" si="340"/>
        <v>0</v>
      </c>
      <c r="FV97" s="97"/>
      <c r="GC97">
        <f t="shared" ca="1" si="341"/>
        <v>0</v>
      </c>
      <c r="GD97">
        <f t="shared" si="342"/>
        <v>0</v>
      </c>
      <c r="GE97">
        <f t="shared" ca="1" si="343"/>
        <v>1</v>
      </c>
      <c r="GF97">
        <f t="shared" si="344"/>
        <v>0</v>
      </c>
      <c r="GG97">
        <f t="shared" ca="1" si="345"/>
        <v>0</v>
      </c>
      <c r="GO97" s="97"/>
      <c r="GV97">
        <f t="shared" si="346"/>
        <v>0</v>
      </c>
      <c r="GW97">
        <f t="shared" ca="1" si="347"/>
        <v>0</v>
      </c>
      <c r="GX97">
        <f t="shared" si="348"/>
        <v>0</v>
      </c>
      <c r="GY97">
        <f t="shared" ca="1" si="349"/>
        <v>1</v>
      </c>
      <c r="GZ97">
        <f t="shared" ca="1" si="350"/>
        <v>0</v>
      </c>
      <c r="HH97" s="97"/>
      <c r="HO97">
        <f t="shared" ca="1" si="351"/>
        <v>0</v>
      </c>
      <c r="HP97">
        <f t="shared" si="352"/>
        <v>0</v>
      </c>
      <c r="HQ97">
        <f t="shared" ca="1" si="353"/>
        <v>1</v>
      </c>
      <c r="HR97">
        <f t="shared" si="354"/>
        <v>0</v>
      </c>
      <c r="HS97">
        <f t="shared" ca="1" si="355"/>
        <v>0</v>
      </c>
      <c r="IA97" s="97"/>
      <c r="IH97">
        <f t="shared" si="356"/>
        <v>0</v>
      </c>
      <c r="II97">
        <f t="shared" ca="1" si="357"/>
        <v>0</v>
      </c>
      <c r="IJ97">
        <f t="shared" si="358"/>
        <v>0</v>
      </c>
      <c r="IK97">
        <f t="shared" ca="1" si="359"/>
        <v>1</v>
      </c>
      <c r="IL97">
        <f t="shared" ca="1" si="360"/>
        <v>0</v>
      </c>
      <c r="IT97" s="97"/>
      <c r="JA97">
        <f t="shared" ca="1" si="361"/>
        <v>0</v>
      </c>
      <c r="JB97">
        <f t="shared" si="362"/>
        <v>0</v>
      </c>
      <c r="JC97">
        <f t="shared" ca="1" si="363"/>
        <v>1</v>
      </c>
      <c r="JD97">
        <f t="shared" si="364"/>
        <v>0</v>
      </c>
      <c r="JE97">
        <f t="shared" ca="1" si="365"/>
        <v>0</v>
      </c>
      <c r="JM97" s="97"/>
      <c r="JT97">
        <f t="shared" si="366"/>
        <v>0</v>
      </c>
      <c r="JU97">
        <f t="shared" ca="1" si="367"/>
        <v>0</v>
      </c>
      <c r="JV97">
        <f t="shared" si="368"/>
        <v>0</v>
      </c>
      <c r="JW97">
        <f t="shared" ca="1" si="369"/>
        <v>1</v>
      </c>
      <c r="JX97">
        <f t="shared" ca="1" si="370"/>
        <v>0</v>
      </c>
      <c r="KF97" s="97"/>
      <c r="KM97">
        <f t="shared" ca="1" si="371"/>
        <v>0</v>
      </c>
      <c r="KN97">
        <f t="shared" si="372"/>
        <v>0</v>
      </c>
      <c r="KO97">
        <f t="shared" ca="1" si="373"/>
        <v>1</v>
      </c>
      <c r="KP97">
        <f t="shared" si="374"/>
        <v>0</v>
      </c>
      <c r="KQ97">
        <f t="shared" ca="1" si="375"/>
        <v>0</v>
      </c>
      <c r="KY97" s="97"/>
      <c r="LF97">
        <f t="shared" si="376"/>
        <v>0</v>
      </c>
      <c r="LG97">
        <f t="shared" ca="1" si="377"/>
        <v>0</v>
      </c>
      <c r="LH97">
        <f t="shared" si="378"/>
        <v>0</v>
      </c>
      <c r="LI97">
        <f t="shared" ca="1" si="379"/>
        <v>1</v>
      </c>
      <c r="LJ97">
        <f t="shared" ca="1" si="380"/>
        <v>0</v>
      </c>
      <c r="LR97" s="97"/>
      <c r="LY97">
        <f t="shared" ca="1" si="381"/>
        <v>0</v>
      </c>
      <c r="LZ97">
        <f t="shared" si="382"/>
        <v>0</v>
      </c>
      <c r="MA97">
        <f t="shared" ca="1" si="383"/>
        <v>1</v>
      </c>
      <c r="MB97">
        <f t="shared" si="384"/>
        <v>0</v>
      </c>
      <c r="MC97">
        <f t="shared" ca="1" si="385"/>
        <v>0</v>
      </c>
    </row>
    <row r="98" spans="1:341" x14ac:dyDescent="0.2">
      <c r="A98" t="s">
        <v>229</v>
      </c>
      <c r="N98">
        <f t="shared" si="296"/>
        <v>0</v>
      </c>
      <c r="O98">
        <f t="shared" ca="1" si="297"/>
        <v>0</v>
      </c>
      <c r="P98">
        <f t="shared" si="298"/>
        <v>0</v>
      </c>
      <c r="Q98">
        <f t="shared" ca="1" si="299"/>
        <v>1</v>
      </c>
      <c r="R98">
        <f t="shared" ca="1" si="300"/>
        <v>0</v>
      </c>
      <c r="AG98">
        <f t="shared" ca="1" si="301"/>
        <v>0</v>
      </c>
      <c r="AH98">
        <f t="shared" si="302"/>
        <v>0</v>
      </c>
      <c r="AI98">
        <f t="shared" ca="1" si="303"/>
        <v>1</v>
      </c>
      <c r="AJ98">
        <f t="shared" si="304"/>
        <v>0</v>
      </c>
      <c r="AK98">
        <f t="shared" ca="1" si="305"/>
        <v>0</v>
      </c>
      <c r="AZ98">
        <f t="shared" si="306"/>
        <v>0</v>
      </c>
      <c r="BA98">
        <f t="shared" ca="1" si="307"/>
        <v>0</v>
      </c>
      <c r="BB98">
        <f t="shared" si="308"/>
        <v>0</v>
      </c>
      <c r="BC98">
        <f t="shared" ca="1" si="309"/>
        <v>1</v>
      </c>
      <c r="BD98">
        <f t="shared" ca="1" si="310"/>
        <v>0</v>
      </c>
      <c r="BS98">
        <f t="shared" ca="1" si="311"/>
        <v>0</v>
      </c>
      <c r="BT98">
        <f t="shared" si="312"/>
        <v>0</v>
      </c>
      <c r="BU98">
        <f t="shared" ca="1" si="313"/>
        <v>1</v>
      </c>
      <c r="BV98">
        <f t="shared" si="314"/>
        <v>0</v>
      </c>
      <c r="BW98">
        <f t="shared" ca="1" si="315"/>
        <v>0</v>
      </c>
      <c r="CL98">
        <f t="shared" si="316"/>
        <v>0</v>
      </c>
      <c r="CM98">
        <f t="shared" ca="1" si="317"/>
        <v>0</v>
      </c>
      <c r="CN98">
        <f t="shared" si="318"/>
        <v>0</v>
      </c>
      <c r="CO98">
        <f t="shared" ca="1" si="319"/>
        <v>1</v>
      </c>
      <c r="CP98">
        <f t="shared" ca="1" si="320"/>
        <v>0</v>
      </c>
      <c r="DE98">
        <f t="shared" ca="1" si="321"/>
        <v>0</v>
      </c>
      <c r="DF98">
        <f t="shared" si="322"/>
        <v>0</v>
      </c>
      <c r="DG98">
        <f t="shared" ca="1" si="323"/>
        <v>1</v>
      </c>
      <c r="DH98">
        <f t="shared" si="324"/>
        <v>0</v>
      </c>
      <c r="DI98">
        <f t="shared" ca="1" si="325"/>
        <v>0</v>
      </c>
      <c r="DX98">
        <f t="shared" si="326"/>
        <v>0</v>
      </c>
      <c r="DY98">
        <f t="shared" ca="1" si="327"/>
        <v>0</v>
      </c>
      <c r="DZ98">
        <f t="shared" si="328"/>
        <v>0</v>
      </c>
      <c r="EA98">
        <f t="shared" ca="1" si="329"/>
        <v>1</v>
      </c>
      <c r="EB98">
        <f t="shared" ca="1" si="330"/>
        <v>0</v>
      </c>
      <c r="EQ98">
        <f t="shared" ca="1" si="331"/>
        <v>0</v>
      </c>
      <c r="ER98">
        <f t="shared" si="332"/>
        <v>0</v>
      </c>
      <c r="ES98">
        <f t="shared" ca="1" si="333"/>
        <v>1</v>
      </c>
      <c r="ET98">
        <f t="shared" si="334"/>
        <v>0</v>
      </c>
      <c r="EU98">
        <f t="shared" ca="1" si="335"/>
        <v>0</v>
      </c>
      <c r="FJ98">
        <f t="shared" si="336"/>
        <v>0</v>
      </c>
      <c r="FK98">
        <f t="shared" ca="1" si="337"/>
        <v>0</v>
      </c>
      <c r="FL98">
        <f t="shared" si="338"/>
        <v>0</v>
      </c>
      <c r="FM98">
        <f t="shared" ca="1" si="339"/>
        <v>1</v>
      </c>
      <c r="FN98">
        <f t="shared" ca="1" si="340"/>
        <v>0</v>
      </c>
      <c r="FV98" s="97"/>
      <c r="GC98">
        <f t="shared" ca="1" si="341"/>
        <v>0</v>
      </c>
      <c r="GD98">
        <f t="shared" si="342"/>
        <v>0</v>
      </c>
      <c r="GE98">
        <f t="shared" ca="1" si="343"/>
        <v>1</v>
      </c>
      <c r="GF98">
        <f t="shared" si="344"/>
        <v>0</v>
      </c>
      <c r="GG98">
        <f t="shared" ca="1" si="345"/>
        <v>0</v>
      </c>
      <c r="GO98" s="97"/>
      <c r="GV98">
        <f t="shared" si="346"/>
        <v>0</v>
      </c>
      <c r="GW98">
        <f t="shared" ca="1" si="347"/>
        <v>0</v>
      </c>
      <c r="GX98">
        <f t="shared" si="348"/>
        <v>0</v>
      </c>
      <c r="GY98">
        <f t="shared" ca="1" si="349"/>
        <v>1</v>
      </c>
      <c r="GZ98">
        <f t="shared" ca="1" si="350"/>
        <v>0</v>
      </c>
      <c r="HH98" s="97"/>
      <c r="HO98">
        <f t="shared" ca="1" si="351"/>
        <v>0</v>
      </c>
      <c r="HP98">
        <f t="shared" si="352"/>
        <v>0</v>
      </c>
      <c r="HQ98">
        <f t="shared" ca="1" si="353"/>
        <v>1</v>
      </c>
      <c r="HR98">
        <f t="shared" si="354"/>
        <v>0</v>
      </c>
      <c r="HS98">
        <f t="shared" ca="1" si="355"/>
        <v>0</v>
      </c>
      <c r="IA98" s="97"/>
      <c r="IH98">
        <f t="shared" si="356"/>
        <v>0</v>
      </c>
      <c r="II98">
        <f t="shared" ca="1" si="357"/>
        <v>0</v>
      </c>
      <c r="IJ98">
        <f t="shared" si="358"/>
        <v>0</v>
      </c>
      <c r="IK98">
        <f t="shared" ca="1" si="359"/>
        <v>1</v>
      </c>
      <c r="IL98">
        <f t="shared" ca="1" si="360"/>
        <v>0</v>
      </c>
      <c r="IT98" s="97"/>
      <c r="JA98">
        <f t="shared" ca="1" si="361"/>
        <v>0</v>
      </c>
      <c r="JB98">
        <f t="shared" si="362"/>
        <v>0</v>
      </c>
      <c r="JC98">
        <f t="shared" ca="1" si="363"/>
        <v>1</v>
      </c>
      <c r="JD98">
        <f t="shared" si="364"/>
        <v>0</v>
      </c>
      <c r="JE98">
        <f t="shared" ca="1" si="365"/>
        <v>0</v>
      </c>
      <c r="JM98" s="97"/>
      <c r="JT98">
        <f t="shared" si="366"/>
        <v>0</v>
      </c>
      <c r="JU98">
        <f t="shared" ca="1" si="367"/>
        <v>0</v>
      </c>
      <c r="JV98">
        <f t="shared" si="368"/>
        <v>0</v>
      </c>
      <c r="JW98">
        <f t="shared" ca="1" si="369"/>
        <v>1</v>
      </c>
      <c r="JX98">
        <f t="shared" ca="1" si="370"/>
        <v>0</v>
      </c>
      <c r="KF98" s="97"/>
      <c r="KM98">
        <f t="shared" ca="1" si="371"/>
        <v>0</v>
      </c>
      <c r="KN98">
        <f t="shared" si="372"/>
        <v>0</v>
      </c>
      <c r="KO98">
        <f t="shared" ca="1" si="373"/>
        <v>1</v>
      </c>
      <c r="KP98">
        <f t="shared" si="374"/>
        <v>0</v>
      </c>
      <c r="KQ98">
        <f t="shared" ca="1" si="375"/>
        <v>0</v>
      </c>
      <c r="KY98" s="97"/>
      <c r="LF98">
        <f t="shared" si="376"/>
        <v>0</v>
      </c>
      <c r="LG98">
        <f t="shared" ca="1" si="377"/>
        <v>0</v>
      </c>
      <c r="LH98">
        <f t="shared" si="378"/>
        <v>0</v>
      </c>
      <c r="LI98">
        <f t="shared" ca="1" si="379"/>
        <v>1</v>
      </c>
      <c r="LJ98">
        <f t="shared" ca="1" si="380"/>
        <v>0</v>
      </c>
      <c r="LR98" s="97"/>
      <c r="LY98">
        <f t="shared" ca="1" si="381"/>
        <v>0</v>
      </c>
      <c r="LZ98">
        <f t="shared" si="382"/>
        <v>0</v>
      </c>
      <c r="MA98">
        <f t="shared" ca="1" si="383"/>
        <v>1</v>
      </c>
      <c r="MB98">
        <f t="shared" si="384"/>
        <v>0</v>
      </c>
      <c r="MC98">
        <f t="shared" ca="1" si="385"/>
        <v>0</v>
      </c>
    </row>
    <row r="99" spans="1:341" x14ac:dyDescent="0.2">
      <c r="A99" t="s">
        <v>230</v>
      </c>
      <c r="N99">
        <f t="shared" ca="1" si="296"/>
        <v>0</v>
      </c>
      <c r="O99">
        <f t="shared" si="297"/>
        <v>0</v>
      </c>
      <c r="P99">
        <f t="shared" ca="1" si="298"/>
        <v>1</v>
      </c>
      <c r="Q99">
        <f t="shared" si="299"/>
        <v>0</v>
      </c>
      <c r="R99">
        <f t="shared" ca="1" si="300"/>
        <v>0</v>
      </c>
      <c r="AG99">
        <f t="shared" si="301"/>
        <v>0</v>
      </c>
      <c r="AH99">
        <f t="shared" ca="1" si="302"/>
        <v>0</v>
      </c>
      <c r="AI99">
        <f t="shared" si="303"/>
        <v>0</v>
      </c>
      <c r="AJ99">
        <f t="shared" ca="1" si="304"/>
        <v>1</v>
      </c>
      <c r="AK99">
        <f t="shared" ca="1" si="305"/>
        <v>0</v>
      </c>
      <c r="AZ99">
        <f t="shared" ca="1" si="306"/>
        <v>0</v>
      </c>
      <c r="BA99">
        <f t="shared" si="307"/>
        <v>0</v>
      </c>
      <c r="BB99">
        <f t="shared" ca="1" si="308"/>
        <v>1</v>
      </c>
      <c r="BC99">
        <f t="shared" si="309"/>
        <v>0</v>
      </c>
      <c r="BD99">
        <f t="shared" ca="1" si="310"/>
        <v>0</v>
      </c>
      <c r="BS99">
        <f t="shared" si="311"/>
        <v>0</v>
      </c>
      <c r="BT99">
        <f t="shared" ca="1" si="312"/>
        <v>0</v>
      </c>
      <c r="BU99">
        <f t="shared" si="313"/>
        <v>0</v>
      </c>
      <c r="BV99">
        <f t="shared" ca="1" si="314"/>
        <v>1</v>
      </c>
      <c r="BW99">
        <f t="shared" ca="1" si="315"/>
        <v>0</v>
      </c>
      <c r="CL99">
        <f t="shared" ca="1" si="316"/>
        <v>0</v>
      </c>
      <c r="CM99">
        <f t="shared" si="317"/>
        <v>0</v>
      </c>
      <c r="CN99">
        <f t="shared" ca="1" si="318"/>
        <v>1</v>
      </c>
      <c r="CO99">
        <f t="shared" si="319"/>
        <v>0</v>
      </c>
      <c r="CP99">
        <f t="shared" ca="1" si="320"/>
        <v>0</v>
      </c>
      <c r="DE99">
        <f t="shared" si="321"/>
        <v>0</v>
      </c>
      <c r="DF99">
        <f t="shared" ca="1" si="322"/>
        <v>0</v>
      </c>
      <c r="DG99">
        <f t="shared" si="323"/>
        <v>0</v>
      </c>
      <c r="DH99">
        <f t="shared" ca="1" si="324"/>
        <v>1</v>
      </c>
      <c r="DI99">
        <f t="shared" ca="1" si="325"/>
        <v>0</v>
      </c>
      <c r="DX99">
        <f t="shared" ca="1" si="326"/>
        <v>0</v>
      </c>
      <c r="DY99">
        <f t="shared" si="327"/>
        <v>0</v>
      </c>
      <c r="DZ99">
        <f t="shared" ca="1" si="328"/>
        <v>1</v>
      </c>
      <c r="EA99">
        <f t="shared" si="329"/>
        <v>0</v>
      </c>
      <c r="EB99">
        <f t="shared" ca="1" si="330"/>
        <v>0</v>
      </c>
      <c r="EQ99">
        <f t="shared" si="331"/>
        <v>0</v>
      </c>
      <c r="ER99">
        <f t="shared" ca="1" si="332"/>
        <v>0</v>
      </c>
      <c r="ES99">
        <f t="shared" si="333"/>
        <v>0</v>
      </c>
      <c r="ET99">
        <f t="shared" ca="1" si="334"/>
        <v>1</v>
      </c>
      <c r="EU99">
        <f t="shared" ca="1" si="335"/>
        <v>0</v>
      </c>
      <c r="FJ99">
        <f t="shared" ca="1" si="336"/>
        <v>0</v>
      </c>
      <c r="FK99">
        <f t="shared" si="337"/>
        <v>0</v>
      </c>
      <c r="FL99">
        <f t="shared" ca="1" si="338"/>
        <v>1</v>
      </c>
      <c r="FM99">
        <f t="shared" si="339"/>
        <v>0</v>
      </c>
      <c r="FN99">
        <f t="shared" ca="1" si="340"/>
        <v>0</v>
      </c>
      <c r="FV99" s="97"/>
      <c r="GC99">
        <f t="shared" si="341"/>
        <v>0</v>
      </c>
      <c r="GD99">
        <f t="shared" ca="1" si="342"/>
        <v>0</v>
      </c>
      <c r="GE99">
        <f t="shared" si="343"/>
        <v>0</v>
      </c>
      <c r="GF99">
        <f t="shared" ca="1" si="344"/>
        <v>1</v>
      </c>
      <c r="GG99">
        <f t="shared" ca="1" si="345"/>
        <v>0</v>
      </c>
      <c r="GO99" s="97"/>
      <c r="GV99">
        <f t="shared" ca="1" si="346"/>
        <v>0</v>
      </c>
      <c r="GW99">
        <f t="shared" si="347"/>
        <v>0</v>
      </c>
      <c r="GX99">
        <f t="shared" ca="1" si="348"/>
        <v>1</v>
      </c>
      <c r="GY99">
        <f t="shared" si="349"/>
        <v>0</v>
      </c>
      <c r="GZ99">
        <f t="shared" ca="1" si="350"/>
        <v>0</v>
      </c>
      <c r="HH99" s="97"/>
      <c r="HO99">
        <f t="shared" si="351"/>
        <v>0</v>
      </c>
      <c r="HP99">
        <f t="shared" ca="1" si="352"/>
        <v>0</v>
      </c>
      <c r="HQ99">
        <f t="shared" si="353"/>
        <v>0</v>
      </c>
      <c r="HR99">
        <f t="shared" ca="1" si="354"/>
        <v>1</v>
      </c>
      <c r="HS99">
        <f t="shared" ca="1" si="355"/>
        <v>0</v>
      </c>
      <c r="IA99" s="97"/>
      <c r="IH99">
        <f t="shared" ca="1" si="356"/>
        <v>0</v>
      </c>
      <c r="II99">
        <f t="shared" si="357"/>
        <v>0</v>
      </c>
      <c r="IJ99">
        <f t="shared" ca="1" si="358"/>
        <v>1</v>
      </c>
      <c r="IK99">
        <f t="shared" si="359"/>
        <v>0</v>
      </c>
      <c r="IL99">
        <f t="shared" ca="1" si="360"/>
        <v>0</v>
      </c>
      <c r="IT99" s="97"/>
      <c r="JA99">
        <f t="shared" si="361"/>
        <v>0</v>
      </c>
      <c r="JB99">
        <f t="shared" ca="1" si="362"/>
        <v>0</v>
      </c>
      <c r="JC99">
        <f t="shared" si="363"/>
        <v>0</v>
      </c>
      <c r="JD99">
        <f t="shared" ca="1" si="364"/>
        <v>1</v>
      </c>
      <c r="JE99">
        <f t="shared" ca="1" si="365"/>
        <v>0</v>
      </c>
      <c r="JM99" s="97"/>
      <c r="JT99">
        <f t="shared" ca="1" si="366"/>
        <v>0</v>
      </c>
      <c r="JU99">
        <f t="shared" si="367"/>
        <v>0</v>
      </c>
      <c r="JV99">
        <f t="shared" ca="1" si="368"/>
        <v>1</v>
      </c>
      <c r="JW99">
        <f t="shared" si="369"/>
        <v>0</v>
      </c>
      <c r="JX99">
        <f t="shared" ca="1" si="370"/>
        <v>0</v>
      </c>
      <c r="KF99" s="97"/>
      <c r="KM99">
        <f t="shared" si="371"/>
        <v>0</v>
      </c>
      <c r="KN99">
        <f t="shared" ca="1" si="372"/>
        <v>0</v>
      </c>
      <c r="KO99">
        <f t="shared" si="373"/>
        <v>0</v>
      </c>
      <c r="KP99">
        <f t="shared" ca="1" si="374"/>
        <v>1</v>
      </c>
      <c r="KQ99">
        <f t="shared" ca="1" si="375"/>
        <v>0</v>
      </c>
      <c r="KY99" s="97"/>
      <c r="LF99">
        <f t="shared" ca="1" si="376"/>
        <v>0</v>
      </c>
      <c r="LG99">
        <f t="shared" si="377"/>
        <v>0</v>
      </c>
      <c r="LH99">
        <f t="shared" ca="1" si="378"/>
        <v>1</v>
      </c>
      <c r="LI99">
        <f t="shared" si="379"/>
        <v>0</v>
      </c>
      <c r="LJ99">
        <f t="shared" ca="1" si="380"/>
        <v>0</v>
      </c>
      <c r="LR99" s="97"/>
      <c r="LY99">
        <f t="shared" si="381"/>
        <v>0</v>
      </c>
      <c r="LZ99">
        <f t="shared" ca="1" si="382"/>
        <v>0</v>
      </c>
      <c r="MA99">
        <f t="shared" si="383"/>
        <v>0</v>
      </c>
      <c r="MB99">
        <f t="shared" ca="1" si="384"/>
        <v>1</v>
      </c>
      <c r="MC99">
        <f t="shared" ca="1" si="385"/>
        <v>0</v>
      </c>
    </row>
    <row r="100" spans="1:341" x14ac:dyDescent="0.2">
      <c r="A100" t="s">
        <v>231</v>
      </c>
      <c r="N100">
        <f t="shared" si="296"/>
        <v>0</v>
      </c>
      <c r="O100">
        <f t="shared" ca="1" si="297"/>
        <v>0</v>
      </c>
      <c r="P100">
        <f t="shared" si="298"/>
        <v>0</v>
      </c>
      <c r="Q100">
        <f t="shared" ca="1" si="299"/>
        <v>1</v>
      </c>
      <c r="R100">
        <f t="shared" ca="1" si="300"/>
        <v>0</v>
      </c>
      <c r="AG100">
        <f t="shared" ca="1" si="301"/>
        <v>0</v>
      </c>
      <c r="AH100">
        <f t="shared" si="302"/>
        <v>0</v>
      </c>
      <c r="AI100">
        <f t="shared" ca="1" si="303"/>
        <v>1</v>
      </c>
      <c r="AJ100">
        <f t="shared" si="304"/>
        <v>0</v>
      </c>
      <c r="AK100">
        <f t="shared" ca="1" si="305"/>
        <v>0</v>
      </c>
      <c r="AZ100">
        <f t="shared" si="306"/>
        <v>0</v>
      </c>
      <c r="BA100">
        <f t="shared" ca="1" si="307"/>
        <v>0</v>
      </c>
      <c r="BB100">
        <f t="shared" si="308"/>
        <v>0</v>
      </c>
      <c r="BC100">
        <f t="shared" ca="1" si="309"/>
        <v>1</v>
      </c>
      <c r="BD100">
        <f t="shared" ca="1" si="310"/>
        <v>0</v>
      </c>
      <c r="BS100">
        <f t="shared" ca="1" si="311"/>
        <v>0</v>
      </c>
      <c r="BT100">
        <f t="shared" si="312"/>
        <v>0</v>
      </c>
      <c r="BU100">
        <f t="shared" ca="1" si="313"/>
        <v>1</v>
      </c>
      <c r="BV100">
        <f t="shared" si="314"/>
        <v>0</v>
      </c>
      <c r="BW100">
        <f t="shared" ca="1" si="315"/>
        <v>0</v>
      </c>
      <c r="CL100">
        <f t="shared" ca="1" si="316"/>
        <v>0</v>
      </c>
      <c r="CM100">
        <f t="shared" si="317"/>
        <v>0</v>
      </c>
      <c r="CN100">
        <f t="shared" ca="1" si="318"/>
        <v>1</v>
      </c>
      <c r="CO100">
        <f t="shared" si="319"/>
        <v>0</v>
      </c>
      <c r="CP100">
        <f t="shared" ca="1" si="320"/>
        <v>0</v>
      </c>
      <c r="DE100">
        <f t="shared" ca="1" si="321"/>
        <v>0</v>
      </c>
      <c r="DF100">
        <f t="shared" si="322"/>
        <v>0</v>
      </c>
      <c r="DG100">
        <f t="shared" ca="1" si="323"/>
        <v>1</v>
      </c>
      <c r="DH100">
        <f t="shared" si="324"/>
        <v>0</v>
      </c>
      <c r="DI100">
        <f t="shared" ca="1" si="325"/>
        <v>0</v>
      </c>
      <c r="DX100">
        <f t="shared" si="326"/>
        <v>0</v>
      </c>
      <c r="DY100">
        <f t="shared" ca="1" si="327"/>
        <v>0</v>
      </c>
      <c r="DZ100">
        <f t="shared" si="328"/>
        <v>0</v>
      </c>
      <c r="EA100">
        <f t="shared" ca="1" si="329"/>
        <v>1</v>
      </c>
      <c r="EB100">
        <f t="shared" ca="1" si="330"/>
        <v>0</v>
      </c>
      <c r="EQ100">
        <f t="shared" ca="1" si="331"/>
        <v>0</v>
      </c>
      <c r="ER100">
        <f t="shared" si="332"/>
        <v>0</v>
      </c>
      <c r="ES100">
        <f t="shared" ca="1" si="333"/>
        <v>1</v>
      </c>
      <c r="ET100">
        <f t="shared" si="334"/>
        <v>0</v>
      </c>
      <c r="EU100">
        <f t="shared" ca="1" si="335"/>
        <v>0</v>
      </c>
      <c r="FJ100">
        <f t="shared" si="336"/>
        <v>0</v>
      </c>
      <c r="FK100">
        <f t="shared" ca="1" si="337"/>
        <v>0</v>
      </c>
      <c r="FL100">
        <f t="shared" si="338"/>
        <v>0</v>
      </c>
      <c r="FM100">
        <f t="shared" ca="1" si="339"/>
        <v>1</v>
      </c>
      <c r="FN100">
        <f t="shared" ca="1" si="340"/>
        <v>0</v>
      </c>
      <c r="FV100" s="97"/>
      <c r="GC100">
        <f t="shared" ca="1" si="341"/>
        <v>0</v>
      </c>
      <c r="GD100">
        <f t="shared" si="342"/>
        <v>0</v>
      </c>
      <c r="GE100">
        <f t="shared" ca="1" si="343"/>
        <v>1</v>
      </c>
      <c r="GF100">
        <f t="shared" si="344"/>
        <v>0</v>
      </c>
      <c r="GG100">
        <f t="shared" ca="1" si="345"/>
        <v>0</v>
      </c>
      <c r="GO100" s="97"/>
      <c r="GV100">
        <f t="shared" si="346"/>
        <v>0</v>
      </c>
      <c r="GW100">
        <f t="shared" ca="1" si="347"/>
        <v>0</v>
      </c>
      <c r="GX100">
        <f t="shared" si="348"/>
        <v>0</v>
      </c>
      <c r="GY100">
        <f t="shared" ca="1" si="349"/>
        <v>1</v>
      </c>
      <c r="GZ100">
        <f t="shared" ca="1" si="350"/>
        <v>0</v>
      </c>
      <c r="HH100" s="97"/>
      <c r="HO100">
        <f t="shared" ca="1" si="351"/>
        <v>0</v>
      </c>
      <c r="HP100">
        <f t="shared" si="352"/>
        <v>0</v>
      </c>
      <c r="HQ100">
        <f t="shared" ca="1" si="353"/>
        <v>1</v>
      </c>
      <c r="HR100">
        <f t="shared" si="354"/>
        <v>0</v>
      </c>
      <c r="HS100">
        <f t="shared" ca="1" si="355"/>
        <v>0</v>
      </c>
      <c r="IA100" s="97"/>
      <c r="IH100">
        <f t="shared" si="356"/>
        <v>0</v>
      </c>
      <c r="II100">
        <f t="shared" ca="1" si="357"/>
        <v>0</v>
      </c>
      <c r="IJ100">
        <f t="shared" si="358"/>
        <v>0</v>
      </c>
      <c r="IK100">
        <f t="shared" ca="1" si="359"/>
        <v>1</v>
      </c>
      <c r="IL100">
        <f t="shared" ca="1" si="360"/>
        <v>0</v>
      </c>
      <c r="IT100" s="97"/>
      <c r="JA100">
        <f t="shared" ca="1" si="361"/>
        <v>0</v>
      </c>
      <c r="JB100">
        <f t="shared" si="362"/>
        <v>0</v>
      </c>
      <c r="JC100">
        <f t="shared" ca="1" si="363"/>
        <v>1</v>
      </c>
      <c r="JD100">
        <f t="shared" si="364"/>
        <v>0</v>
      </c>
      <c r="JE100">
        <f t="shared" ca="1" si="365"/>
        <v>0</v>
      </c>
      <c r="JM100" s="97"/>
      <c r="JT100">
        <f t="shared" si="366"/>
        <v>0</v>
      </c>
      <c r="JU100">
        <f t="shared" ca="1" si="367"/>
        <v>0</v>
      </c>
      <c r="JV100">
        <f t="shared" si="368"/>
        <v>0</v>
      </c>
      <c r="JW100">
        <f t="shared" ca="1" si="369"/>
        <v>1</v>
      </c>
      <c r="JX100">
        <f t="shared" ca="1" si="370"/>
        <v>0</v>
      </c>
      <c r="KF100" s="97"/>
      <c r="KM100">
        <f t="shared" ca="1" si="371"/>
        <v>0</v>
      </c>
      <c r="KN100">
        <f t="shared" si="372"/>
        <v>0</v>
      </c>
      <c r="KO100">
        <f t="shared" ca="1" si="373"/>
        <v>1</v>
      </c>
      <c r="KP100">
        <f t="shared" si="374"/>
        <v>0</v>
      </c>
      <c r="KQ100">
        <f t="shared" ca="1" si="375"/>
        <v>0</v>
      </c>
      <c r="KY100" s="97"/>
      <c r="LF100">
        <f t="shared" si="376"/>
        <v>0</v>
      </c>
      <c r="LG100">
        <f t="shared" ca="1" si="377"/>
        <v>0</v>
      </c>
      <c r="LH100">
        <f t="shared" si="378"/>
        <v>0</v>
      </c>
      <c r="LI100">
        <f t="shared" ca="1" si="379"/>
        <v>1</v>
      </c>
      <c r="LJ100">
        <f t="shared" ca="1" si="380"/>
        <v>0</v>
      </c>
      <c r="LR100" s="97"/>
      <c r="LY100">
        <f t="shared" si="381"/>
        <v>0</v>
      </c>
      <c r="LZ100">
        <f t="shared" ca="1" si="382"/>
        <v>0</v>
      </c>
      <c r="MA100">
        <f t="shared" si="383"/>
        <v>0</v>
      </c>
      <c r="MB100">
        <f t="shared" ca="1" si="384"/>
        <v>1</v>
      </c>
      <c r="MC100">
        <f t="shared" ca="1" si="385"/>
        <v>0</v>
      </c>
    </row>
    <row r="101" spans="1:341" x14ac:dyDescent="0.2">
      <c r="A101" t="s">
        <v>232</v>
      </c>
      <c r="N101">
        <f t="shared" ca="1" si="296"/>
        <v>0</v>
      </c>
      <c r="O101">
        <f t="shared" si="297"/>
        <v>0</v>
      </c>
      <c r="P101">
        <f t="shared" ca="1" si="298"/>
        <v>1</v>
      </c>
      <c r="Q101">
        <f t="shared" si="299"/>
        <v>0</v>
      </c>
      <c r="R101">
        <f t="shared" ca="1" si="300"/>
        <v>0</v>
      </c>
      <c r="AG101">
        <f t="shared" si="301"/>
        <v>0</v>
      </c>
      <c r="AH101">
        <f t="shared" ca="1" si="302"/>
        <v>0</v>
      </c>
      <c r="AI101">
        <f t="shared" si="303"/>
        <v>0</v>
      </c>
      <c r="AJ101">
        <f t="shared" ca="1" si="304"/>
        <v>1</v>
      </c>
      <c r="AK101">
        <f t="shared" ca="1" si="305"/>
        <v>0</v>
      </c>
      <c r="AZ101">
        <f t="shared" si="306"/>
        <v>0</v>
      </c>
      <c r="BA101">
        <f t="shared" ca="1" si="307"/>
        <v>0</v>
      </c>
      <c r="BB101">
        <f t="shared" si="308"/>
        <v>0</v>
      </c>
      <c r="BC101">
        <f t="shared" ca="1" si="309"/>
        <v>1</v>
      </c>
      <c r="BD101">
        <f t="shared" ca="1" si="310"/>
        <v>0</v>
      </c>
      <c r="BS101">
        <f t="shared" si="311"/>
        <v>0</v>
      </c>
      <c r="BT101">
        <f t="shared" ca="1" si="312"/>
        <v>0</v>
      </c>
      <c r="BU101">
        <f t="shared" si="313"/>
        <v>0</v>
      </c>
      <c r="BV101">
        <f t="shared" ca="1" si="314"/>
        <v>1</v>
      </c>
      <c r="BW101">
        <f t="shared" ca="1" si="315"/>
        <v>0</v>
      </c>
      <c r="CL101">
        <f t="shared" si="316"/>
        <v>0</v>
      </c>
      <c r="CM101">
        <f t="shared" ca="1" si="317"/>
        <v>0</v>
      </c>
      <c r="CN101">
        <f t="shared" si="318"/>
        <v>0</v>
      </c>
      <c r="CO101">
        <f t="shared" ca="1" si="319"/>
        <v>1</v>
      </c>
      <c r="CP101">
        <f t="shared" ca="1" si="320"/>
        <v>0</v>
      </c>
      <c r="DE101">
        <f t="shared" si="321"/>
        <v>0</v>
      </c>
      <c r="DF101">
        <f t="shared" ca="1" si="322"/>
        <v>0</v>
      </c>
      <c r="DG101">
        <f t="shared" si="323"/>
        <v>0</v>
      </c>
      <c r="DH101">
        <f t="shared" ca="1" si="324"/>
        <v>1</v>
      </c>
      <c r="DI101">
        <f t="shared" ca="1" si="325"/>
        <v>0</v>
      </c>
      <c r="DX101">
        <f t="shared" ca="1" si="326"/>
        <v>0</v>
      </c>
      <c r="DY101">
        <f t="shared" si="327"/>
        <v>0</v>
      </c>
      <c r="DZ101">
        <f t="shared" ca="1" si="328"/>
        <v>1</v>
      </c>
      <c r="EA101">
        <f t="shared" si="329"/>
        <v>0</v>
      </c>
      <c r="EB101">
        <f t="shared" ca="1" si="330"/>
        <v>0</v>
      </c>
      <c r="EQ101">
        <f t="shared" si="331"/>
        <v>0</v>
      </c>
      <c r="ER101">
        <f t="shared" ca="1" si="332"/>
        <v>0</v>
      </c>
      <c r="ES101">
        <f t="shared" si="333"/>
        <v>0</v>
      </c>
      <c r="ET101">
        <f t="shared" ca="1" si="334"/>
        <v>1</v>
      </c>
      <c r="EU101">
        <f t="shared" ca="1" si="335"/>
        <v>0</v>
      </c>
      <c r="FJ101">
        <f t="shared" ca="1" si="336"/>
        <v>0</v>
      </c>
      <c r="FK101">
        <f t="shared" si="337"/>
        <v>0</v>
      </c>
      <c r="FL101">
        <f t="shared" ca="1" si="338"/>
        <v>1</v>
      </c>
      <c r="FM101">
        <f t="shared" si="339"/>
        <v>0</v>
      </c>
      <c r="FN101">
        <f t="shared" ca="1" si="340"/>
        <v>0</v>
      </c>
      <c r="FV101" s="97"/>
      <c r="GC101">
        <f t="shared" ca="1" si="341"/>
        <v>0</v>
      </c>
      <c r="GD101">
        <f t="shared" si="342"/>
        <v>0</v>
      </c>
      <c r="GE101">
        <f t="shared" ca="1" si="343"/>
        <v>1</v>
      </c>
      <c r="GF101">
        <f t="shared" si="344"/>
        <v>0</v>
      </c>
      <c r="GG101">
        <f t="shared" ca="1" si="345"/>
        <v>0</v>
      </c>
      <c r="GO101" s="97"/>
      <c r="GV101">
        <f t="shared" ca="1" si="346"/>
        <v>0</v>
      </c>
      <c r="GW101">
        <f t="shared" si="347"/>
        <v>0</v>
      </c>
      <c r="GX101">
        <f t="shared" ca="1" si="348"/>
        <v>1</v>
      </c>
      <c r="GY101">
        <f t="shared" si="349"/>
        <v>0</v>
      </c>
      <c r="GZ101">
        <f t="shared" ca="1" si="350"/>
        <v>0</v>
      </c>
      <c r="HH101" s="97"/>
      <c r="HO101">
        <f t="shared" si="351"/>
        <v>0</v>
      </c>
      <c r="HP101">
        <f t="shared" ca="1" si="352"/>
        <v>0</v>
      </c>
      <c r="HQ101">
        <f t="shared" si="353"/>
        <v>0</v>
      </c>
      <c r="HR101">
        <f t="shared" ca="1" si="354"/>
        <v>1</v>
      </c>
      <c r="HS101">
        <f t="shared" ca="1" si="355"/>
        <v>0</v>
      </c>
      <c r="IA101" s="97"/>
      <c r="IH101">
        <f t="shared" ca="1" si="356"/>
        <v>0</v>
      </c>
      <c r="II101">
        <f t="shared" si="357"/>
        <v>0</v>
      </c>
      <c r="IJ101">
        <f t="shared" ca="1" si="358"/>
        <v>1</v>
      </c>
      <c r="IK101">
        <f t="shared" si="359"/>
        <v>0</v>
      </c>
      <c r="IL101">
        <f t="shared" ca="1" si="360"/>
        <v>0</v>
      </c>
      <c r="IT101" s="97"/>
      <c r="JA101">
        <f t="shared" si="361"/>
        <v>0</v>
      </c>
      <c r="JB101">
        <f t="shared" ca="1" si="362"/>
        <v>0</v>
      </c>
      <c r="JC101">
        <f t="shared" si="363"/>
        <v>0</v>
      </c>
      <c r="JD101">
        <f t="shared" ca="1" si="364"/>
        <v>1</v>
      </c>
      <c r="JE101">
        <f t="shared" ca="1" si="365"/>
        <v>0</v>
      </c>
      <c r="JM101" s="97"/>
      <c r="JT101">
        <f t="shared" ca="1" si="366"/>
        <v>0</v>
      </c>
      <c r="JU101">
        <f t="shared" si="367"/>
        <v>0</v>
      </c>
      <c r="JV101">
        <f t="shared" ca="1" si="368"/>
        <v>1</v>
      </c>
      <c r="JW101">
        <f t="shared" si="369"/>
        <v>0</v>
      </c>
      <c r="JX101">
        <f t="shared" ca="1" si="370"/>
        <v>0</v>
      </c>
      <c r="KF101" s="97"/>
      <c r="KM101">
        <f t="shared" si="371"/>
        <v>0</v>
      </c>
      <c r="KN101">
        <f t="shared" ca="1" si="372"/>
        <v>0</v>
      </c>
      <c r="KO101">
        <f t="shared" si="373"/>
        <v>0</v>
      </c>
      <c r="KP101">
        <f t="shared" ca="1" si="374"/>
        <v>1</v>
      </c>
      <c r="KQ101">
        <f t="shared" ca="1" si="375"/>
        <v>0</v>
      </c>
      <c r="KY101" s="97"/>
      <c r="LF101">
        <f t="shared" ca="1" si="376"/>
        <v>0</v>
      </c>
      <c r="LG101">
        <f t="shared" si="377"/>
        <v>0</v>
      </c>
      <c r="LH101">
        <f t="shared" ca="1" si="378"/>
        <v>1</v>
      </c>
      <c r="LI101">
        <f t="shared" si="379"/>
        <v>0</v>
      </c>
      <c r="LJ101">
        <f t="shared" ca="1" si="380"/>
        <v>0</v>
      </c>
      <c r="LR101" s="97"/>
      <c r="LY101">
        <f t="shared" ca="1" si="381"/>
        <v>0</v>
      </c>
      <c r="LZ101">
        <f t="shared" si="382"/>
        <v>0</v>
      </c>
      <c r="MA101">
        <f t="shared" ca="1" si="383"/>
        <v>1</v>
      </c>
      <c r="MB101">
        <f t="shared" si="384"/>
        <v>0</v>
      </c>
      <c r="MC101">
        <f t="shared" ca="1" si="385"/>
        <v>0</v>
      </c>
    </row>
    <row r="102" spans="1:341" x14ac:dyDescent="0.2">
      <c r="A102" t="s">
        <v>233</v>
      </c>
      <c r="N102">
        <f t="shared" si="296"/>
        <v>0</v>
      </c>
      <c r="O102">
        <f t="shared" ca="1" si="297"/>
        <v>0</v>
      </c>
      <c r="P102">
        <f t="shared" si="298"/>
        <v>0</v>
      </c>
      <c r="Q102">
        <f t="shared" ca="1" si="299"/>
        <v>1</v>
      </c>
      <c r="R102">
        <f t="shared" ca="1" si="300"/>
        <v>0</v>
      </c>
      <c r="AG102">
        <f t="shared" ca="1" si="301"/>
        <v>0</v>
      </c>
      <c r="AH102">
        <f t="shared" si="302"/>
        <v>0</v>
      </c>
      <c r="AI102">
        <f t="shared" ca="1" si="303"/>
        <v>1</v>
      </c>
      <c r="AJ102">
        <f t="shared" si="304"/>
        <v>0</v>
      </c>
      <c r="AK102">
        <f t="shared" ca="1" si="305"/>
        <v>0</v>
      </c>
      <c r="AZ102">
        <f t="shared" ca="1" si="306"/>
        <v>0</v>
      </c>
      <c r="BA102">
        <f t="shared" si="307"/>
        <v>0</v>
      </c>
      <c r="BB102">
        <f t="shared" ca="1" si="308"/>
        <v>1</v>
      </c>
      <c r="BC102">
        <f t="shared" si="309"/>
        <v>0</v>
      </c>
      <c r="BD102">
        <f t="shared" ca="1" si="310"/>
        <v>0</v>
      </c>
      <c r="BS102">
        <f t="shared" ca="1" si="311"/>
        <v>0</v>
      </c>
      <c r="BT102">
        <f t="shared" si="312"/>
        <v>0</v>
      </c>
      <c r="BU102">
        <f t="shared" ca="1" si="313"/>
        <v>1</v>
      </c>
      <c r="BV102">
        <f t="shared" si="314"/>
        <v>0</v>
      </c>
      <c r="BW102">
        <f t="shared" ca="1" si="315"/>
        <v>0</v>
      </c>
      <c r="CL102">
        <f t="shared" ca="1" si="316"/>
        <v>0</v>
      </c>
      <c r="CM102">
        <f t="shared" si="317"/>
        <v>0</v>
      </c>
      <c r="CN102">
        <f t="shared" ca="1" si="318"/>
        <v>1</v>
      </c>
      <c r="CO102">
        <f t="shared" si="319"/>
        <v>0</v>
      </c>
      <c r="CP102">
        <f t="shared" ca="1" si="320"/>
        <v>0</v>
      </c>
      <c r="DE102">
        <f t="shared" ca="1" si="321"/>
        <v>0</v>
      </c>
      <c r="DF102">
        <f t="shared" si="322"/>
        <v>0</v>
      </c>
      <c r="DG102">
        <f t="shared" ca="1" si="323"/>
        <v>1</v>
      </c>
      <c r="DH102">
        <f t="shared" si="324"/>
        <v>0</v>
      </c>
      <c r="DI102">
        <f t="shared" ca="1" si="325"/>
        <v>0</v>
      </c>
      <c r="DX102">
        <f t="shared" si="326"/>
        <v>0</v>
      </c>
      <c r="DY102">
        <f t="shared" ca="1" si="327"/>
        <v>0</v>
      </c>
      <c r="DZ102">
        <f t="shared" si="328"/>
        <v>0</v>
      </c>
      <c r="EA102">
        <f t="shared" ca="1" si="329"/>
        <v>1</v>
      </c>
      <c r="EB102">
        <f t="shared" ca="1" si="330"/>
        <v>0</v>
      </c>
      <c r="EQ102">
        <f t="shared" ca="1" si="331"/>
        <v>0</v>
      </c>
      <c r="ER102">
        <f t="shared" si="332"/>
        <v>0</v>
      </c>
      <c r="ES102">
        <f t="shared" ca="1" si="333"/>
        <v>1</v>
      </c>
      <c r="ET102">
        <f t="shared" si="334"/>
        <v>0</v>
      </c>
      <c r="EU102">
        <f t="shared" ca="1" si="335"/>
        <v>0</v>
      </c>
      <c r="FJ102">
        <f t="shared" si="336"/>
        <v>0</v>
      </c>
      <c r="FK102">
        <f t="shared" ca="1" si="337"/>
        <v>0</v>
      </c>
      <c r="FL102">
        <f t="shared" si="338"/>
        <v>0</v>
      </c>
      <c r="FM102">
        <f t="shared" ca="1" si="339"/>
        <v>1</v>
      </c>
      <c r="FN102">
        <f t="shared" ca="1" si="340"/>
        <v>0</v>
      </c>
      <c r="FV102" s="97"/>
      <c r="GC102">
        <f t="shared" si="341"/>
        <v>0</v>
      </c>
      <c r="GD102">
        <f t="shared" ca="1" si="342"/>
        <v>0</v>
      </c>
      <c r="GE102">
        <f t="shared" si="343"/>
        <v>0</v>
      </c>
      <c r="GF102">
        <f t="shared" ca="1" si="344"/>
        <v>1</v>
      </c>
      <c r="GG102">
        <f t="shared" ca="1" si="345"/>
        <v>0</v>
      </c>
      <c r="GO102" s="97"/>
      <c r="GV102">
        <f t="shared" si="346"/>
        <v>0</v>
      </c>
      <c r="GW102">
        <f t="shared" ca="1" si="347"/>
        <v>0</v>
      </c>
      <c r="GX102">
        <f t="shared" si="348"/>
        <v>0</v>
      </c>
      <c r="GY102">
        <f t="shared" ca="1" si="349"/>
        <v>1</v>
      </c>
      <c r="GZ102">
        <f t="shared" ca="1" si="350"/>
        <v>0</v>
      </c>
      <c r="HH102" s="97"/>
      <c r="HO102">
        <f t="shared" ca="1" si="351"/>
        <v>0</v>
      </c>
      <c r="HP102">
        <f t="shared" si="352"/>
        <v>0</v>
      </c>
      <c r="HQ102">
        <f t="shared" ca="1" si="353"/>
        <v>1</v>
      </c>
      <c r="HR102">
        <f t="shared" si="354"/>
        <v>0</v>
      </c>
      <c r="HS102">
        <f t="shared" ca="1" si="355"/>
        <v>0</v>
      </c>
      <c r="IA102" s="97"/>
      <c r="IH102">
        <f t="shared" si="356"/>
        <v>0</v>
      </c>
      <c r="II102">
        <f t="shared" ca="1" si="357"/>
        <v>0</v>
      </c>
      <c r="IJ102">
        <f t="shared" si="358"/>
        <v>0</v>
      </c>
      <c r="IK102">
        <f t="shared" ca="1" si="359"/>
        <v>1</v>
      </c>
      <c r="IL102">
        <f t="shared" ca="1" si="360"/>
        <v>0</v>
      </c>
      <c r="IT102" s="97"/>
      <c r="JA102">
        <f t="shared" ca="1" si="361"/>
        <v>0</v>
      </c>
      <c r="JB102">
        <f t="shared" si="362"/>
        <v>0</v>
      </c>
      <c r="JC102">
        <f t="shared" ca="1" si="363"/>
        <v>1</v>
      </c>
      <c r="JD102">
        <f t="shared" si="364"/>
        <v>0</v>
      </c>
      <c r="JE102">
        <f t="shared" ca="1" si="365"/>
        <v>0</v>
      </c>
      <c r="JM102" s="97"/>
      <c r="JT102">
        <f t="shared" si="366"/>
        <v>0</v>
      </c>
      <c r="JU102">
        <f t="shared" ca="1" si="367"/>
        <v>0</v>
      </c>
      <c r="JV102">
        <f t="shared" si="368"/>
        <v>0</v>
      </c>
      <c r="JW102">
        <f t="shared" ca="1" si="369"/>
        <v>1</v>
      </c>
      <c r="JX102">
        <f t="shared" ca="1" si="370"/>
        <v>0</v>
      </c>
      <c r="KF102" s="97"/>
      <c r="KM102">
        <f t="shared" ca="1" si="371"/>
        <v>0</v>
      </c>
      <c r="KN102">
        <f t="shared" si="372"/>
        <v>0</v>
      </c>
      <c r="KO102">
        <f t="shared" ca="1" si="373"/>
        <v>1</v>
      </c>
      <c r="KP102">
        <f t="shared" si="374"/>
        <v>0</v>
      </c>
      <c r="KQ102">
        <f t="shared" ca="1" si="375"/>
        <v>0</v>
      </c>
      <c r="KY102" s="97"/>
      <c r="LF102">
        <f t="shared" si="376"/>
        <v>0</v>
      </c>
      <c r="LG102">
        <f t="shared" ca="1" si="377"/>
        <v>0</v>
      </c>
      <c r="LH102">
        <f t="shared" si="378"/>
        <v>0</v>
      </c>
      <c r="LI102">
        <f t="shared" ca="1" si="379"/>
        <v>1</v>
      </c>
      <c r="LJ102">
        <f t="shared" ca="1" si="380"/>
        <v>0</v>
      </c>
      <c r="LR102" s="97"/>
      <c r="LY102">
        <f t="shared" si="381"/>
        <v>0</v>
      </c>
      <c r="LZ102">
        <f t="shared" ca="1" si="382"/>
        <v>0</v>
      </c>
      <c r="MA102">
        <f t="shared" si="383"/>
        <v>0</v>
      </c>
      <c r="MB102">
        <f t="shared" ca="1" si="384"/>
        <v>1</v>
      </c>
      <c r="MC102">
        <f t="shared" ca="1" si="385"/>
        <v>0</v>
      </c>
    </row>
    <row r="103" spans="1:341" x14ac:dyDescent="0.2">
      <c r="A103" t="s">
        <v>234</v>
      </c>
      <c r="N103">
        <f t="shared" ca="1" si="296"/>
        <v>0</v>
      </c>
      <c r="O103">
        <f t="shared" si="297"/>
        <v>0</v>
      </c>
      <c r="P103">
        <f t="shared" ca="1" si="298"/>
        <v>1</v>
      </c>
      <c r="Q103">
        <f t="shared" si="299"/>
        <v>0</v>
      </c>
      <c r="R103">
        <f t="shared" ca="1" si="300"/>
        <v>0</v>
      </c>
      <c r="AG103">
        <f t="shared" ca="1" si="301"/>
        <v>0</v>
      </c>
      <c r="AH103">
        <f t="shared" si="302"/>
        <v>0</v>
      </c>
      <c r="AI103">
        <f t="shared" ca="1" si="303"/>
        <v>1</v>
      </c>
      <c r="AJ103">
        <f t="shared" si="304"/>
        <v>0</v>
      </c>
      <c r="AK103">
        <f t="shared" ca="1" si="305"/>
        <v>0</v>
      </c>
      <c r="AZ103">
        <f t="shared" si="306"/>
        <v>0</v>
      </c>
      <c r="BA103">
        <f t="shared" ca="1" si="307"/>
        <v>0</v>
      </c>
      <c r="BB103">
        <f t="shared" si="308"/>
        <v>0</v>
      </c>
      <c r="BC103">
        <f t="shared" ca="1" si="309"/>
        <v>1</v>
      </c>
      <c r="BD103">
        <f t="shared" ca="1" si="310"/>
        <v>0</v>
      </c>
      <c r="BS103">
        <f t="shared" si="311"/>
        <v>0</v>
      </c>
      <c r="BT103">
        <f t="shared" ca="1" si="312"/>
        <v>0</v>
      </c>
      <c r="BU103">
        <f t="shared" si="313"/>
        <v>0</v>
      </c>
      <c r="BV103">
        <f t="shared" ca="1" si="314"/>
        <v>1</v>
      </c>
      <c r="BW103">
        <f t="shared" ca="1" si="315"/>
        <v>0</v>
      </c>
      <c r="CL103">
        <f t="shared" si="316"/>
        <v>0</v>
      </c>
      <c r="CM103">
        <f t="shared" ca="1" si="317"/>
        <v>0</v>
      </c>
      <c r="CN103">
        <f t="shared" si="318"/>
        <v>0</v>
      </c>
      <c r="CO103">
        <f t="shared" ca="1" si="319"/>
        <v>1</v>
      </c>
      <c r="CP103">
        <f t="shared" ca="1" si="320"/>
        <v>0</v>
      </c>
      <c r="DE103">
        <f t="shared" si="321"/>
        <v>0</v>
      </c>
      <c r="DF103">
        <f t="shared" ca="1" si="322"/>
        <v>0</v>
      </c>
      <c r="DG103">
        <f t="shared" si="323"/>
        <v>0</v>
      </c>
      <c r="DH103">
        <f t="shared" ca="1" si="324"/>
        <v>1</v>
      </c>
      <c r="DI103">
        <f t="shared" ca="1" si="325"/>
        <v>0</v>
      </c>
      <c r="DX103">
        <f t="shared" ca="1" si="326"/>
        <v>0</v>
      </c>
      <c r="DY103">
        <f t="shared" si="327"/>
        <v>0</v>
      </c>
      <c r="DZ103">
        <f t="shared" ca="1" si="328"/>
        <v>1</v>
      </c>
      <c r="EA103">
        <f t="shared" si="329"/>
        <v>0</v>
      </c>
      <c r="EB103">
        <f t="shared" ca="1" si="330"/>
        <v>0</v>
      </c>
      <c r="EQ103">
        <f t="shared" si="331"/>
        <v>0</v>
      </c>
      <c r="ER103">
        <f t="shared" ca="1" si="332"/>
        <v>0</v>
      </c>
      <c r="ES103">
        <f t="shared" si="333"/>
        <v>0</v>
      </c>
      <c r="ET103">
        <f t="shared" ca="1" si="334"/>
        <v>1</v>
      </c>
      <c r="EU103">
        <f t="shared" ca="1" si="335"/>
        <v>0</v>
      </c>
      <c r="FJ103">
        <f t="shared" ca="1" si="336"/>
        <v>0</v>
      </c>
      <c r="FK103">
        <f t="shared" si="337"/>
        <v>0</v>
      </c>
      <c r="FL103">
        <f t="shared" ca="1" si="338"/>
        <v>1</v>
      </c>
      <c r="FM103">
        <f t="shared" si="339"/>
        <v>0</v>
      </c>
      <c r="FN103">
        <f t="shared" ca="1" si="340"/>
        <v>0</v>
      </c>
      <c r="FV103" s="97"/>
      <c r="GC103">
        <f t="shared" ca="1" si="341"/>
        <v>0</v>
      </c>
      <c r="GD103">
        <f t="shared" si="342"/>
        <v>0</v>
      </c>
      <c r="GE103">
        <f t="shared" ca="1" si="343"/>
        <v>1</v>
      </c>
      <c r="GF103">
        <f t="shared" si="344"/>
        <v>0</v>
      </c>
      <c r="GG103">
        <f t="shared" ca="1" si="345"/>
        <v>0</v>
      </c>
      <c r="GO103" s="97"/>
      <c r="GV103">
        <f t="shared" si="346"/>
        <v>0</v>
      </c>
      <c r="GW103">
        <f t="shared" ca="1" si="347"/>
        <v>0</v>
      </c>
      <c r="GX103">
        <f t="shared" si="348"/>
        <v>0</v>
      </c>
      <c r="GY103">
        <f t="shared" ca="1" si="349"/>
        <v>1</v>
      </c>
      <c r="GZ103">
        <f t="shared" ca="1" si="350"/>
        <v>0</v>
      </c>
      <c r="HH103" s="97"/>
      <c r="HO103">
        <f t="shared" si="351"/>
        <v>0</v>
      </c>
      <c r="HP103">
        <f t="shared" ca="1" si="352"/>
        <v>0</v>
      </c>
      <c r="HQ103">
        <f t="shared" si="353"/>
        <v>0</v>
      </c>
      <c r="HR103">
        <f t="shared" ca="1" si="354"/>
        <v>1</v>
      </c>
      <c r="HS103">
        <f t="shared" ca="1" si="355"/>
        <v>0</v>
      </c>
      <c r="IA103" s="97"/>
      <c r="IH103">
        <f t="shared" ca="1" si="356"/>
        <v>0</v>
      </c>
      <c r="II103">
        <f t="shared" si="357"/>
        <v>0</v>
      </c>
      <c r="IJ103">
        <f t="shared" ca="1" si="358"/>
        <v>1</v>
      </c>
      <c r="IK103">
        <f t="shared" si="359"/>
        <v>0</v>
      </c>
      <c r="IL103">
        <f t="shared" ca="1" si="360"/>
        <v>0</v>
      </c>
      <c r="IT103" s="97"/>
      <c r="JA103">
        <f t="shared" si="361"/>
        <v>0</v>
      </c>
      <c r="JB103">
        <f t="shared" ca="1" si="362"/>
        <v>0</v>
      </c>
      <c r="JC103">
        <f t="shared" si="363"/>
        <v>0</v>
      </c>
      <c r="JD103">
        <f t="shared" ca="1" si="364"/>
        <v>1</v>
      </c>
      <c r="JE103">
        <f t="shared" ca="1" si="365"/>
        <v>0</v>
      </c>
      <c r="JM103" s="97"/>
      <c r="JT103">
        <f t="shared" ca="1" si="366"/>
        <v>0</v>
      </c>
      <c r="JU103">
        <f t="shared" si="367"/>
        <v>0</v>
      </c>
      <c r="JV103">
        <f t="shared" ca="1" si="368"/>
        <v>1</v>
      </c>
      <c r="JW103">
        <f t="shared" si="369"/>
        <v>0</v>
      </c>
      <c r="JX103">
        <f t="shared" ca="1" si="370"/>
        <v>0</v>
      </c>
      <c r="KF103" s="97"/>
      <c r="KM103">
        <f t="shared" si="371"/>
        <v>0</v>
      </c>
      <c r="KN103">
        <f t="shared" ca="1" si="372"/>
        <v>0</v>
      </c>
      <c r="KO103">
        <f t="shared" si="373"/>
        <v>0</v>
      </c>
      <c r="KP103">
        <f t="shared" ca="1" si="374"/>
        <v>1</v>
      </c>
      <c r="KQ103">
        <f t="shared" ca="1" si="375"/>
        <v>0</v>
      </c>
      <c r="KY103" s="97"/>
      <c r="LF103">
        <f t="shared" ca="1" si="376"/>
        <v>0</v>
      </c>
      <c r="LG103">
        <f t="shared" si="377"/>
        <v>0</v>
      </c>
      <c r="LH103">
        <f t="shared" ca="1" si="378"/>
        <v>1</v>
      </c>
      <c r="LI103">
        <f t="shared" si="379"/>
        <v>0</v>
      </c>
      <c r="LJ103">
        <f t="shared" ca="1" si="380"/>
        <v>0</v>
      </c>
      <c r="LR103" s="97"/>
      <c r="LY103">
        <f t="shared" ca="1" si="381"/>
        <v>0</v>
      </c>
      <c r="LZ103">
        <f t="shared" si="382"/>
        <v>0</v>
      </c>
      <c r="MA103">
        <f t="shared" ca="1" si="383"/>
        <v>1</v>
      </c>
      <c r="MB103">
        <f t="shared" si="384"/>
        <v>0</v>
      </c>
      <c r="MC103">
        <f t="shared" ca="1" si="385"/>
        <v>0</v>
      </c>
    </row>
    <row r="104" spans="1:341" x14ac:dyDescent="0.2">
      <c r="A104" t="s">
        <v>235</v>
      </c>
      <c r="N104">
        <f t="shared" si="296"/>
        <v>0</v>
      </c>
      <c r="O104">
        <f t="shared" ca="1" si="297"/>
        <v>0</v>
      </c>
      <c r="P104">
        <f t="shared" si="298"/>
        <v>0</v>
      </c>
      <c r="Q104">
        <f t="shared" ca="1" si="299"/>
        <v>1</v>
      </c>
      <c r="R104">
        <f t="shared" ca="1" si="300"/>
        <v>0</v>
      </c>
      <c r="AG104">
        <f t="shared" si="301"/>
        <v>0</v>
      </c>
      <c r="AH104">
        <f t="shared" ca="1" si="302"/>
        <v>0</v>
      </c>
      <c r="AI104">
        <f t="shared" si="303"/>
        <v>0</v>
      </c>
      <c r="AJ104">
        <f t="shared" ca="1" si="304"/>
        <v>1</v>
      </c>
      <c r="AK104">
        <f t="shared" ca="1" si="305"/>
        <v>0</v>
      </c>
      <c r="AZ104">
        <f t="shared" ca="1" si="306"/>
        <v>0</v>
      </c>
      <c r="BA104">
        <f t="shared" si="307"/>
        <v>0</v>
      </c>
      <c r="BB104">
        <f t="shared" ca="1" si="308"/>
        <v>1</v>
      </c>
      <c r="BC104">
        <f t="shared" si="309"/>
        <v>0</v>
      </c>
      <c r="BD104">
        <f t="shared" ca="1" si="310"/>
        <v>0</v>
      </c>
      <c r="BS104">
        <f t="shared" ca="1" si="311"/>
        <v>0</v>
      </c>
      <c r="BT104">
        <f t="shared" si="312"/>
        <v>0</v>
      </c>
      <c r="BU104">
        <f t="shared" ca="1" si="313"/>
        <v>1</v>
      </c>
      <c r="BV104">
        <f t="shared" si="314"/>
        <v>0</v>
      </c>
      <c r="BW104">
        <f t="shared" ca="1" si="315"/>
        <v>0</v>
      </c>
      <c r="CL104">
        <f t="shared" ca="1" si="316"/>
        <v>0</v>
      </c>
      <c r="CM104">
        <f t="shared" si="317"/>
        <v>0</v>
      </c>
      <c r="CN104">
        <f t="shared" ca="1" si="318"/>
        <v>1</v>
      </c>
      <c r="CO104">
        <f t="shared" si="319"/>
        <v>0</v>
      </c>
      <c r="CP104">
        <f t="shared" ca="1" si="320"/>
        <v>0</v>
      </c>
      <c r="DE104">
        <f t="shared" ca="1" si="321"/>
        <v>0</v>
      </c>
      <c r="DF104">
        <f t="shared" si="322"/>
        <v>0</v>
      </c>
      <c r="DG104">
        <f t="shared" ca="1" si="323"/>
        <v>1</v>
      </c>
      <c r="DH104">
        <f t="shared" si="324"/>
        <v>0</v>
      </c>
      <c r="DI104">
        <f t="shared" ca="1" si="325"/>
        <v>0</v>
      </c>
      <c r="DX104">
        <f t="shared" si="326"/>
        <v>0</v>
      </c>
      <c r="DY104">
        <f t="shared" ca="1" si="327"/>
        <v>0</v>
      </c>
      <c r="DZ104">
        <f t="shared" si="328"/>
        <v>0</v>
      </c>
      <c r="EA104">
        <f t="shared" ca="1" si="329"/>
        <v>1</v>
      </c>
      <c r="EB104">
        <f t="shared" ca="1" si="330"/>
        <v>0</v>
      </c>
      <c r="EQ104">
        <f t="shared" ca="1" si="331"/>
        <v>0</v>
      </c>
      <c r="ER104">
        <f t="shared" si="332"/>
        <v>0</v>
      </c>
      <c r="ES104">
        <f t="shared" ca="1" si="333"/>
        <v>1</v>
      </c>
      <c r="ET104">
        <f t="shared" si="334"/>
        <v>0</v>
      </c>
      <c r="EU104">
        <f t="shared" ca="1" si="335"/>
        <v>0</v>
      </c>
      <c r="FJ104">
        <f t="shared" si="336"/>
        <v>0</v>
      </c>
      <c r="FK104">
        <f t="shared" ca="1" si="337"/>
        <v>0</v>
      </c>
      <c r="FL104">
        <f t="shared" si="338"/>
        <v>0</v>
      </c>
      <c r="FM104">
        <f t="shared" ca="1" si="339"/>
        <v>1</v>
      </c>
      <c r="FN104">
        <f t="shared" ca="1" si="340"/>
        <v>0</v>
      </c>
      <c r="FV104" s="97"/>
      <c r="GC104">
        <f t="shared" si="341"/>
        <v>0</v>
      </c>
      <c r="GD104">
        <f t="shared" ca="1" si="342"/>
        <v>0</v>
      </c>
      <c r="GE104">
        <f t="shared" si="343"/>
        <v>0</v>
      </c>
      <c r="GF104">
        <f t="shared" ca="1" si="344"/>
        <v>1</v>
      </c>
      <c r="GG104">
        <f t="shared" ca="1" si="345"/>
        <v>0</v>
      </c>
      <c r="GO104" s="97"/>
      <c r="GV104">
        <f t="shared" ca="1" si="346"/>
        <v>0</v>
      </c>
      <c r="GW104">
        <f t="shared" si="347"/>
        <v>0</v>
      </c>
      <c r="GX104">
        <f t="shared" ca="1" si="348"/>
        <v>1</v>
      </c>
      <c r="GY104">
        <f t="shared" si="349"/>
        <v>0</v>
      </c>
      <c r="GZ104">
        <f t="shared" ca="1" si="350"/>
        <v>0</v>
      </c>
      <c r="HH104" s="97"/>
      <c r="HO104">
        <f t="shared" ca="1" si="351"/>
        <v>0</v>
      </c>
      <c r="HP104">
        <f t="shared" si="352"/>
        <v>0</v>
      </c>
      <c r="HQ104">
        <f t="shared" ca="1" si="353"/>
        <v>1</v>
      </c>
      <c r="HR104">
        <f t="shared" si="354"/>
        <v>0</v>
      </c>
      <c r="HS104">
        <f t="shared" ca="1" si="355"/>
        <v>0</v>
      </c>
      <c r="IA104" s="97"/>
      <c r="IH104">
        <f t="shared" si="356"/>
        <v>0</v>
      </c>
      <c r="II104">
        <f t="shared" ca="1" si="357"/>
        <v>0</v>
      </c>
      <c r="IJ104">
        <f t="shared" si="358"/>
        <v>0</v>
      </c>
      <c r="IK104">
        <f t="shared" ca="1" si="359"/>
        <v>1</v>
      </c>
      <c r="IL104">
        <f t="shared" ca="1" si="360"/>
        <v>0</v>
      </c>
      <c r="IT104" s="97"/>
      <c r="JA104">
        <f t="shared" ca="1" si="361"/>
        <v>0</v>
      </c>
      <c r="JB104">
        <f t="shared" si="362"/>
        <v>0</v>
      </c>
      <c r="JC104">
        <f t="shared" ca="1" si="363"/>
        <v>1</v>
      </c>
      <c r="JD104">
        <f t="shared" si="364"/>
        <v>0</v>
      </c>
      <c r="JE104">
        <f t="shared" ca="1" si="365"/>
        <v>0</v>
      </c>
      <c r="JM104" s="97"/>
      <c r="JT104">
        <f t="shared" si="366"/>
        <v>0</v>
      </c>
      <c r="JU104">
        <f t="shared" ca="1" si="367"/>
        <v>0</v>
      </c>
      <c r="JV104">
        <f t="shared" si="368"/>
        <v>0</v>
      </c>
      <c r="JW104">
        <f t="shared" ca="1" si="369"/>
        <v>1</v>
      </c>
      <c r="JX104">
        <f t="shared" ca="1" si="370"/>
        <v>0</v>
      </c>
      <c r="KF104" s="97"/>
      <c r="KM104">
        <f t="shared" ca="1" si="371"/>
        <v>0</v>
      </c>
      <c r="KN104">
        <f t="shared" si="372"/>
        <v>0</v>
      </c>
      <c r="KO104">
        <f t="shared" ca="1" si="373"/>
        <v>1</v>
      </c>
      <c r="KP104">
        <f t="shared" si="374"/>
        <v>0</v>
      </c>
      <c r="KQ104">
        <f t="shared" ca="1" si="375"/>
        <v>0</v>
      </c>
      <c r="KY104" s="97"/>
      <c r="LF104">
        <f t="shared" si="376"/>
        <v>0</v>
      </c>
      <c r="LG104">
        <f t="shared" ca="1" si="377"/>
        <v>0</v>
      </c>
      <c r="LH104">
        <f t="shared" si="378"/>
        <v>0</v>
      </c>
      <c r="LI104">
        <f t="shared" ca="1" si="379"/>
        <v>1</v>
      </c>
      <c r="LJ104">
        <f t="shared" ca="1" si="380"/>
        <v>0</v>
      </c>
      <c r="LR104" s="97"/>
      <c r="LY104">
        <f t="shared" si="381"/>
        <v>0</v>
      </c>
      <c r="LZ104">
        <f t="shared" ca="1" si="382"/>
        <v>0</v>
      </c>
      <c r="MA104">
        <f t="shared" si="383"/>
        <v>0</v>
      </c>
      <c r="MB104">
        <f t="shared" ca="1" si="384"/>
        <v>1</v>
      </c>
      <c r="MC104">
        <f t="shared" ca="1" si="385"/>
        <v>0</v>
      </c>
    </row>
    <row r="105" spans="1:341" x14ac:dyDescent="0.2">
      <c r="A105" t="s">
        <v>236</v>
      </c>
      <c r="N105">
        <f t="shared" ca="1" si="296"/>
        <v>0</v>
      </c>
      <c r="O105">
        <f t="shared" si="297"/>
        <v>0</v>
      </c>
      <c r="P105">
        <f t="shared" ca="1" si="298"/>
        <v>1</v>
      </c>
      <c r="Q105">
        <f t="shared" si="299"/>
        <v>0</v>
      </c>
      <c r="R105">
        <f t="shared" ca="1" si="300"/>
        <v>0</v>
      </c>
      <c r="AG105">
        <f t="shared" ca="1" si="301"/>
        <v>0</v>
      </c>
      <c r="AH105">
        <f t="shared" si="302"/>
        <v>0</v>
      </c>
      <c r="AI105">
        <f t="shared" ca="1" si="303"/>
        <v>1</v>
      </c>
      <c r="AJ105">
        <f t="shared" si="304"/>
        <v>0</v>
      </c>
      <c r="AK105">
        <f t="shared" ca="1" si="305"/>
        <v>0</v>
      </c>
      <c r="AZ105">
        <f t="shared" si="306"/>
        <v>0</v>
      </c>
      <c r="BA105">
        <f t="shared" ca="1" si="307"/>
        <v>0</v>
      </c>
      <c r="BB105">
        <f t="shared" si="308"/>
        <v>0</v>
      </c>
      <c r="BC105">
        <f t="shared" ca="1" si="309"/>
        <v>1</v>
      </c>
      <c r="BD105">
        <f t="shared" ca="1" si="310"/>
        <v>0</v>
      </c>
      <c r="BS105">
        <f t="shared" si="311"/>
        <v>0</v>
      </c>
      <c r="BT105">
        <f t="shared" ca="1" si="312"/>
        <v>0</v>
      </c>
      <c r="BU105">
        <f t="shared" si="313"/>
        <v>0</v>
      </c>
      <c r="BV105">
        <f t="shared" ca="1" si="314"/>
        <v>1</v>
      </c>
      <c r="BW105">
        <f t="shared" ca="1" si="315"/>
        <v>0</v>
      </c>
      <c r="CL105">
        <f t="shared" si="316"/>
        <v>0</v>
      </c>
      <c r="CM105">
        <f t="shared" ca="1" si="317"/>
        <v>0</v>
      </c>
      <c r="CN105">
        <f t="shared" si="318"/>
        <v>0</v>
      </c>
      <c r="CO105">
        <f t="shared" ca="1" si="319"/>
        <v>1</v>
      </c>
      <c r="CP105">
        <f t="shared" ca="1" si="320"/>
        <v>0</v>
      </c>
      <c r="DE105">
        <f t="shared" si="321"/>
        <v>0</v>
      </c>
      <c r="DF105">
        <f t="shared" ca="1" si="322"/>
        <v>0</v>
      </c>
      <c r="DG105">
        <f t="shared" si="323"/>
        <v>0</v>
      </c>
      <c r="DH105">
        <f t="shared" ca="1" si="324"/>
        <v>1</v>
      </c>
      <c r="DI105">
        <f t="shared" ca="1" si="325"/>
        <v>0</v>
      </c>
      <c r="DX105">
        <f t="shared" ca="1" si="326"/>
        <v>0</v>
      </c>
      <c r="DY105">
        <f t="shared" si="327"/>
        <v>0</v>
      </c>
      <c r="DZ105">
        <f t="shared" ca="1" si="328"/>
        <v>1</v>
      </c>
      <c r="EA105">
        <f t="shared" si="329"/>
        <v>0</v>
      </c>
      <c r="EB105">
        <f t="shared" ca="1" si="330"/>
        <v>0</v>
      </c>
      <c r="EQ105">
        <f t="shared" si="331"/>
        <v>0</v>
      </c>
      <c r="ER105">
        <f t="shared" ca="1" si="332"/>
        <v>0</v>
      </c>
      <c r="ES105">
        <f t="shared" si="333"/>
        <v>0</v>
      </c>
      <c r="ET105">
        <f t="shared" ca="1" si="334"/>
        <v>1</v>
      </c>
      <c r="EU105">
        <f t="shared" ca="1" si="335"/>
        <v>0</v>
      </c>
      <c r="FJ105">
        <f t="shared" ca="1" si="336"/>
        <v>0</v>
      </c>
      <c r="FK105">
        <f t="shared" si="337"/>
        <v>0</v>
      </c>
      <c r="FL105">
        <f t="shared" ca="1" si="338"/>
        <v>1</v>
      </c>
      <c r="FM105">
        <f t="shared" si="339"/>
        <v>0</v>
      </c>
      <c r="FN105">
        <f t="shared" ca="1" si="340"/>
        <v>0</v>
      </c>
      <c r="FV105" s="97"/>
      <c r="GC105">
        <f t="shared" ca="1" si="341"/>
        <v>0</v>
      </c>
      <c r="GD105">
        <f t="shared" si="342"/>
        <v>0</v>
      </c>
      <c r="GE105">
        <f t="shared" ca="1" si="343"/>
        <v>1</v>
      </c>
      <c r="GF105">
        <f t="shared" si="344"/>
        <v>0</v>
      </c>
      <c r="GG105">
        <f t="shared" ca="1" si="345"/>
        <v>0</v>
      </c>
      <c r="GO105" s="97"/>
      <c r="GV105">
        <f t="shared" si="346"/>
        <v>0</v>
      </c>
      <c r="GW105">
        <f t="shared" ca="1" si="347"/>
        <v>0</v>
      </c>
      <c r="GX105">
        <f t="shared" si="348"/>
        <v>0</v>
      </c>
      <c r="GY105">
        <f t="shared" ca="1" si="349"/>
        <v>1</v>
      </c>
      <c r="GZ105">
        <f t="shared" ca="1" si="350"/>
        <v>0</v>
      </c>
      <c r="HH105" s="97"/>
      <c r="HO105">
        <f t="shared" si="351"/>
        <v>0</v>
      </c>
      <c r="HP105">
        <f t="shared" ca="1" si="352"/>
        <v>0</v>
      </c>
      <c r="HQ105">
        <f t="shared" si="353"/>
        <v>0</v>
      </c>
      <c r="HR105">
        <f t="shared" ca="1" si="354"/>
        <v>1</v>
      </c>
      <c r="HS105">
        <f t="shared" ca="1" si="355"/>
        <v>0</v>
      </c>
      <c r="IA105" s="97"/>
      <c r="IH105">
        <f t="shared" ca="1" si="356"/>
        <v>0</v>
      </c>
      <c r="II105">
        <f t="shared" si="357"/>
        <v>0</v>
      </c>
      <c r="IJ105">
        <f t="shared" ca="1" si="358"/>
        <v>1</v>
      </c>
      <c r="IK105">
        <f t="shared" si="359"/>
        <v>0</v>
      </c>
      <c r="IL105">
        <f t="shared" ca="1" si="360"/>
        <v>0</v>
      </c>
      <c r="IT105" s="97"/>
      <c r="JA105">
        <f t="shared" si="361"/>
        <v>0</v>
      </c>
      <c r="JB105">
        <f t="shared" ca="1" si="362"/>
        <v>0</v>
      </c>
      <c r="JC105">
        <f t="shared" si="363"/>
        <v>0</v>
      </c>
      <c r="JD105">
        <f t="shared" ca="1" si="364"/>
        <v>1</v>
      </c>
      <c r="JE105">
        <f t="shared" ca="1" si="365"/>
        <v>0</v>
      </c>
      <c r="JM105" s="97"/>
      <c r="JT105">
        <f t="shared" ca="1" si="366"/>
        <v>0</v>
      </c>
      <c r="JU105">
        <f t="shared" si="367"/>
        <v>0</v>
      </c>
      <c r="JV105">
        <f t="shared" ca="1" si="368"/>
        <v>1</v>
      </c>
      <c r="JW105">
        <f t="shared" si="369"/>
        <v>0</v>
      </c>
      <c r="JX105">
        <f t="shared" ca="1" si="370"/>
        <v>0</v>
      </c>
      <c r="KF105" s="97"/>
      <c r="KM105">
        <f t="shared" si="371"/>
        <v>0</v>
      </c>
      <c r="KN105">
        <f t="shared" ca="1" si="372"/>
        <v>0</v>
      </c>
      <c r="KO105">
        <f t="shared" si="373"/>
        <v>0</v>
      </c>
      <c r="KP105">
        <f t="shared" ca="1" si="374"/>
        <v>1</v>
      </c>
      <c r="KQ105">
        <f t="shared" ca="1" si="375"/>
        <v>0</v>
      </c>
      <c r="KY105" s="97"/>
      <c r="LF105">
        <f t="shared" ca="1" si="376"/>
        <v>0</v>
      </c>
      <c r="LG105">
        <f t="shared" si="377"/>
        <v>0</v>
      </c>
      <c r="LH105">
        <f t="shared" ca="1" si="378"/>
        <v>1</v>
      </c>
      <c r="LI105">
        <f t="shared" si="379"/>
        <v>0</v>
      </c>
      <c r="LJ105">
        <f t="shared" ca="1" si="380"/>
        <v>0</v>
      </c>
      <c r="LR105" s="97"/>
      <c r="LY105">
        <f t="shared" ca="1" si="381"/>
        <v>0</v>
      </c>
      <c r="LZ105">
        <f t="shared" si="382"/>
        <v>0</v>
      </c>
      <c r="MA105">
        <f t="shared" ca="1" si="383"/>
        <v>1</v>
      </c>
      <c r="MB105">
        <f t="shared" si="384"/>
        <v>0</v>
      </c>
      <c r="MC105">
        <f t="shared" ca="1" si="385"/>
        <v>0</v>
      </c>
    </row>
    <row r="106" spans="1:341" x14ac:dyDescent="0.2">
      <c r="A106" t="s">
        <v>237</v>
      </c>
      <c r="N106">
        <f t="shared" si="296"/>
        <v>0</v>
      </c>
      <c r="O106">
        <f t="shared" ca="1" si="297"/>
        <v>0</v>
      </c>
      <c r="P106">
        <f t="shared" si="298"/>
        <v>0</v>
      </c>
      <c r="Q106">
        <f t="shared" ca="1" si="299"/>
        <v>1</v>
      </c>
      <c r="R106">
        <f t="shared" ca="1" si="300"/>
        <v>0</v>
      </c>
      <c r="AG106">
        <f t="shared" si="301"/>
        <v>0</v>
      </c>
      <c r="AH106">
        <f t="shared" ca="1" si="302"/>
        <v>0</v>
      </c>
      <c r="AI106">
        <f t="shared" si="303"/>
        <v>0</v>
      </c>
      <c r="AJ106">
        <f t="shared" ca="1" si="304"/>
        <v>1</v>
      </c>
      <c r="AK106">
        <f t="shared" ca="1" si="305"/>
        <v>0</v>
      </c>
      <c r="AZ106">
        <f t="shared" ca="1" si="306"/>
        <v>0</v>
      </c>
      <c r="BA106">
        <f t="shared" si="307"/>
        <v>0</v>
      </c>
      <c r="BB106">
        <f t="shared" ca="1" si="308"/>
        <v>1</v>
      </c>
      <c r="BC106">
        <f t="shared" si="309"/>
        <v>0</v>
      </c>
      <c r="BD106">
        <f t="shared" ca="1" si="310"/>
        <v>0</v>
      </c>
      <c r="BS106">
        <f t="shared" ca="1" si="311"/>
        <v>0</v>
      </c>
      <c r="BT106">
        <f t="shared" si="312"/>
        <v>0</v>
      </c>
      <c r="BU106">
        <f t="shared" ca="1" si="313"/>
        <v>1</v>
      </c>
      <c r="BV106">
        <f t="shared" si="314"/>
        <v>0</v>
      </c>
      <c r="BW106">
        <f t="shared" ca="1" si="315"/>
        <v>0</v>
      </c>
      <c r="CL106">
        <f t="shared" ca="1" si="316"/>
        <v>0</v>
      </c>
      <c r="CM106">
        <f t="shared" si="317"/>
        <v>0</v>
      </c>
      <c r="CN106">
        <f t="shared" ca="1" si="318"/>
        <v>1</v>
      </c>
      <c r="CO106">
        <f t="shared" si="319"/>
        <v>0</v>
      </c>
      <c r="CP106">
        <f t="shared" ca="1" si="320"/>
        <v>0</v>
      </c>
      <c r="DE106">
        <f t="shared" ca="1" si="321"/>
        <v>0</v>
      </c>
      <c r="DF106">
        <f t="shared" si="322"/>
        <v>0</v>
      </c>
      <c r="DG106">
        <f t="shared" ca="1" si="323"/>
        <v>1</v>
      </c>
      <c r="DH106">
        <f t="shared" si="324"/>
        <v>0</v>
      </c>
      <c r="DI106">
        <f t="shared" ca="1" si="325"/>
        <v>0</v>
      </c>
      <c r="DX106">
        <f t="shared" ca="1" si="326"/>
        <v>0</v>
      </c>
      <c r="DY106">
        <f t="shared" si="327"/>
        <v>0</v>
      </c>
      <c r="DZ106">
        <f t="shared" ca="1" si="328"/>
        <v>1</v>
      </c>
      <c r="EA106">
        <f t="shared" si="329"/>
        <v>0</v>
      </c>
      <c r="EB106">
        <f t="shared" ca="1" si="330"/>
        <v>0</v>
      </c>
      <c r="EQ106">
        <f t="shared" si="331"/>
        <v>0</v>
      </c>
      <c r="ER106">
        <f t="shared" ca="1" si="332"/>
        <v>0</v>
      </c>
      <c r="ES106">
        <f t="shared" si="333"/>
        <v>0</v>
      </c>
      <c r="ET106">
        <f t="shared" ca="1" si="334"/>
        <v>1</v>
      </c>
      <c r="EU106">
        <f t="shared" ca="1" si="335"/>
        <v>0</v>
      </c>
      <c r="FJ106">
        <f t="shared" si="336"/>
        <v>0</v>
      </c>
      <c r="FK106">
        <f t="shared" ca="1" si="337"/>
        <v>0</v>
      </c>
      <c r="FL106">
        <f t="shared" si="338"/>
        <v>0</v>
      </c>
      <c r="FM106">
        <f t="shared" ca="1" si="339"/>
        <v>1</v>
      </c>
      <c r="FN106">
        <f t="shared" ca="1" si="340"/>
        <v>0</v>
      </c>
      <c r="FV106" s="97"/>
      <c r="GC106">
        <f t="shared" si="341"/>
        <v>0</v>
      </c>
      <c r="GD106">
        <f t="shared" ca="1" si="342"/>
        <v>0</v>
      </c>
      <c r="GE106">
        <f t="shared" si="343"/>
        <v>0</v>
      </c>
      <c r="GF106">
        <f t="shared" ca="1" si="344"/>
        <v>1</v>
      </c>
      <c r="GG106">
        <f t="shared" ca="1" si="345"/>
        <v>0</v>
      </c>
      <c r="GO106" s="97"/>
      <c r="GV106">
        <f t="shared" ca="1" si="346"/>
        <v>0</v>
      </c>
      <c r="GW106">
        <f t="shared" si="347"/>
        <v>0</v>
      </c>
      <c r="GX106">
        <f t="shared" ca="1" si="348"/>
        <v>1</v>
      </c>
      <c r="GY106">
        <f t="shared" si="349"/>
        <v>0</v>
      </c>
      <c r="GZ106">
        <f t="shared" ca="1" si="350"/>
        <v>0</v>
      </c>
      <c r="HH106" s="97"/>
      <c r="HO106">
        <f t="shared" ca="1" si="351"/>
        <v>0</v>
      </c>
      <c r="HP106">
        <f t="shared" si="352"/>
        <v>0</v>
      </c>
      <c r="HQ106">
        <f t="shared" ca="1" si="353"/>
        <v>1</v>
      </c>
      <c r="HR106">
        <f t="shared" si="354"/>
        <v>0</v>
      </c>
      <c r="HS106">
        <f t="shared" ca="1" si="355"/>
        <v>0</v>
      </c>
      <c r="IA106" s="97"/>
      <c r="IH106">
        <f t="shared" si="356"/>
        <v>0</v>
      </c>
      <c r="II106">
        <f t="shared" ca="1" si="357"/>
        <v>0</v>
      </c>
      <c r="IJ106">
        <f t="shared" si="358"/>
        <v>0</v>
      </c>
      <c r="IK106">
        <f t="shared" ca="1" si="359"/>
        <v>1</v>
      </c>
      <c r="IL106">
        <f t="shared" ca="1" si="360"/>
        <v>0</v>
      </c>
      <c r="IT106" s="97"/>
      <c r="JA106">
        <f t="shared" ca="1" si="361"/>
        <v>0</v>
      </c>
      <c r="JB106">
        <f t="shared" si="362"/>
        <v>0</v>
      </c>
      <c r="JC106">
        <f t="shared" ca="1" si="363"/>
        <v>1</v>
      </c>
      <c r="JD106">
        <f t="shared" si="364"/>
        <v>0</v>
      </c>
      <c r="JE106">
        <f t="shared" ca="1" si="365"/>
        <v>0</v>
      </c>
      <c r="JM106" s="97"/>
      <c r="JT106">
        <f t="shared" si="366"/>
        <v>0</v>
      </c>
      <c r="JU106">
        <f t="shared" ca="1" si="367"/>
        <v>0</v>
      </c>
      <c r="JV106">
        <f t="shared" si="368"/>
        <v>0</v>
      </c>
      <c r="JW106">
        <f t="shared" ca="1" si="369"/>
        <v>1</v>
      </c>
      <c r="JX106">
        <f t="shared" ca="1" si="370"/>
        <v>0</v>
      </c>
      <c r="KF106" s="97"/>
      <c r="KM106">
        <f t="shared" ca="1" si="371"/>
        <v>0</v>
      </c>
      <c r="KN106">
        <f t="shared" si="372"/>
        <v>0</v>
      </c>
      <c r="KO106">
        <f t="shared" ca="1" si="373"/>
        <v>1</v>
      </c>
      <c r="KP106">
        <f t="shared" si="374"/>
        <v>0</v>
      </c>
      <c r="KQ106">
        <f t="shared" ca="1" si="375"/>
        <v>0</v>
      </c>
      <c r="KY106" s="97"/>
      <c r="LF106">
        <f t="shared" si="376"/>
        <v>0</v>
      </c>
      <c r="LG106">
        <f t="shared" ca="1" si="377"/>
        <v>0</v>
      </c>
      <c r="LH106">
        <f t="shared" si="378"/>
        <v>0</v>
      </c>
      <c r="LI106">
        <f t="shared" ca="1" si="379"/>
        <v>1</v>
      </c>
      <c r="LJ106">
        <f t="shared" ca="1" si="380"/>
        <v>0</v>
      </c>
      <c r="LR106" s="97"/>
      <c r="LY106">
        <f t="shared" si="381"/>
        <v>0</v>
      </c>
      <c r="LZ106">
        <f t="shared" ca="1" si="382"/>
        <v>0</v>
      </c>
      <c r="MA106">
        <f t="shared" si="383"/>
        <v>0</v>
      </c>
      <c r="MB106">
        <f t="shared" ca="1" si="384"/>
        <v>1</v>
      </c>
      <c r="MC106">
        <f t="shared" ca="1" si="385"/>
        <v>0</v>
      </c>
    </row>
    <row r="107" spans="1:341" x14ac:dyDescent="0.2">
      <c r="A107" t="s">
        <v>238</v>
      </c>
      <c r="N107">
        <f t="shared" ca="1" si="296"/>
        <v>0</v>
      </c>
      <c r="O107">
        <f t="shared" si="297"/>
        <v>0</v>
      </c>
      <c r="P107">
        <f t="shared" ca="1" si="298"/>
        <v>1</v>
      </c>
      <c r="Q107">
        <f t="shared" si="299"/>
        <v>0</v>
      </c>
      <c r="R107">
        <f t="shared" ca="1" si="300"/>
        <v>0</v>
      </c>
      <c r="AG107">
        <f t="shared" ca="1" si="301"/>
        <v>0</v>
      </c>
      <c r="AH107">
        <f t="shared" si="302"/>
        <v>0</v>
      </c>
      <c r="AI107">
        <f t="shared" ca="1" si="303"/>
        <v>1</v>
      </c>
      <c r="AJ107">
        <f t="shared" si="304"/>
        <v>0</v>
      </c>
      <c r="AK107">
        <f t="shared" ca="1" si="305"/>
        <v>0</v>
      </c>
      <c r="AZ107">
        <f t="shared" si="306"/>
        <v>0</v>
      </c>
      <c r="BA107">
        <f t="shared" ca="1" si="307"/>
        <v>0</v>
      </c>
      <c r="BB107">
        <f t="shared" si="308"/>
        <v>0</v>
      </c>
      <c r="BC107">
        <f t="shared" ca="1" si="309"/>
        <v>1</v>
      </c>
      <c r="BD107">
        <f t="shared" ca="1" si="310"/>
        <v>0</v>
      </c>
      <c r="BS107">
        <f t="shared" si="311"/>
        <v>0</v>
      </c>
      <c r="BT107">
        <f t="shared" ca="1" si="312"/>
        <v>0</v>
      </c>
      <c r="BU107">
        <f t="shared" si="313"/>
        <v>0</v>
      </c>
      <c r="BV107">
        <f t="shared" ca="1" si="314"/>
        <v>1</v>
      </c>
      <c r="BW107">
        <f t="shared" ca="1" si="315"/>
        <v>0</v>
      </c>
      <c r="CL107">
        <f t="shared" si="316"/>
        <v>0</v>
      </c>
      <c r="CM107">
        <f t="shared" ca="1" si="317"/>
        <v>0</v>
      </c>
      <c r="CN107">
        <f t="shared" si="318"/>
        <v>0</v>
      </c>
      <c r="CO107">
        <f t="shared" ca="1" si="319"/>
        <v>1</v>
      </c>
      <c r="CP107">
        <f t="shared" ca="1" si="320"/>
        <v>0</v>
      </c>
      <c r="DE107">
        <f t="shared" si="321"/>
        <v>0</v>
      </c>
      <c r="DF107">
        <f t="shared" ca="1" si="322"/>
        <v>0</v>
      </c>
      <c r="DG107">
        <f t="shared" si="323"/>
        <v>0</v>
      </c>
      <c r="DH107">
        <f t="shared" ca="1" si="324"/>
        <v>1</v>
      </c>
      <c r="DI107">
        <f t="shared" ca="1" si="325"/>
        <v>0</v>
      </c>
      <c r="DX107">
        <f t="shared" si="326"/>
        <v>0</v>
      </c>
      <c r="DY107">
        <f t="shared" ca="1" si="327"/>
        <v>0</v>
      </c>
      <c r="DZ107">
        <f t="shared" si="328"/>
        <v>0</v>
      </c>
      <c r="EA107">
        <f t="shared" ca="1" si="329"/>
        <v>1</v>
      </c>
      <c r="EB107">
        <f t="shared" ca="1" si="330"/>
        <v>0</v>
      </c>
      <c r="EQ107">
        <f t="shared" ca="1" si="331"/>
        <v>0</v>
      </c>
      <c r="ER107">
        <f t="shared" si="332"/>
        <v>0</v>
      </c>
      <c r="ES107">
        <f t="shared" ca="1" si="333"/>
        <v>1</v>
      </c>
      <c r="ET107">
        <f t="shared" si="334"/>
        <v>0</v>
      </c>
      <c r="EU107">
        <f t="shared" ca="1" si="335"/>
        <v>0</v>
      </c>
      <c r="FJ107">
        <f t="shared" ca="1" si="336"/>
        <v>0</v>
      </c>
      <c r="FK107">
        <f t="shared" si="337"/>
        <v>0</v>
      </c>
      <c r="FL107">
        <f t="shared" ca="1" si="338"/>
        <v>1</v>
      </c>
      <c r="FM107">
        <f t="shared" si="339"/>
        <v>0</v>
      </c>
      <c r="FN107">
        <f t="shared" ca="1" si="340"/>
        <v>0</v>
      </c>
      <c r="FV107" s="97"/>
      <c r="GC107">
        <f t="shared" ca="1" si="341"/>
        <v>0</v>
      </c>
      <c r="GD107">
        <f t="shared" si="342"/>
        <v>0</v>
      </c>
      <c r="GE107">
        <f t="shared" ca="1" si="343"/>
        <v>1</v>
      </c>
      <c r="GF107">
        <f t="shared" si="344"/>
        <v>0</v>
      </c>
      <c r="GG107">
        <f t="shared" ca="1" si="345"/>
        <v>0</v>
      </c>
      <c r="GO107" s="97"/>
      <c r="GV107">
        <f t="shared" si="346"/>
        <v>0</v>
      </c>
      <c r="GW107">
        <f t="shared" ca="1" si="347"/>
        <v>0</v>
      </c>
      <c r="GX107">
        <f t="shared" si="348"/>
        <v>0</v>
      </c>
      <c r="GY107">
        <f t="shared" ca="1" si="349"/>
        <v>1</v>
      </c>
      <c r="GZ107">
        <f t="shared" ca="1" si="350"/>
        <v>0</v>
      </c>
      <c r="HH107" s="97"/>
      <c r="HO107">
        <f t="shared" si="351"/>
        <v>0</v>
      </c>
      <c r="HP107">
        <f t="shared" ca="1" si="352"/>
        <v>0</v>
      </c>
      <c r="HQ107">
        <f t="shared" si="353"/>
        <v>0</v>
      </c>
      <c r="HR107">
        <f t="shared" ca="1" si="354"/>
        <v>1</v>
      </c>
      <c r="HS107">
        <f t="shared" ca="1" si="355"/>
        <v>0</v>
      </c>
      <c r="IA107" s="97"/>
      <c r="IH107">
        <f t="shared" si="356"/>
        <v>0</v>
      </c>
      <c r="II107">
        <f t="shared" ca="1" si="357"/>
        <v>0</v>
      </c>
      <c r="IJ107">
        <f t="shared" si="358"/>
        <v>0</v>
      </c>
      <c r="IK107">
        <f t="shared" ca="1" si="359"/>
        <v>1</v>
      </c>
      <c r="IL107">
        <f t="shared" ca="1" si="360"/>
        <v>0</v>
      </c>
      <c r="IT107" s="97"/>
      <c r="JA107">
        <f t="shared" si="361"/>
        <v>0</v>
      </c>
      <c r="JB107">
        <f t="shared" ca="1" si="362"/>
        <v>0</v>
      </c>
      <c r="JC107">
        <f t="shared" si="363"/>
        <v>0</v>
      </c>
      <c r="JD107">
        <f t="shared" ca="1" si="364"/>
        <v>1</v>
      </c>
      <c r="JE107">
        <f t="shared" ca="1" si="365"/>
        <v>0</v>
      </c>
      <c r="JM107" s="97"/>
      <c r="JT107">
        <f t="shared" ca="1" si="366"/>
        <v>0</v>
      </c>
      <c r="JU107">
        <f t="shared" si="367"/>
        <v>0</v>
      </c>
      <c r="JV107">
        <f t="shared" ca="1" si="368"/>
        <v>1</v>
      </c>
      <c r="JW107">
        <f t="shared" si="369"/>
        <v>0</v>
      </c>
      <c r="JX107">
        <f t="shared" ca="1" si="370"/>
        <v>0</v>
      </c>
      <c r="KF107" s="97"/>
      <c r="KM107">
        <f t="shared" ca="1" si="371"/>
        <v>0</v>
      </c>
      <c r="KN107">
        <f t="shared" si="372"/>
        <v>0</v>
      </c>
      <c r="KO107">
        <f t="shared" ca="1" si="373"/>
        <v>1</v>
      </c>
      <c r="KP107">
        <f t="shared" si="374"/>
        <v>0</v>
      </c>
      <c r="KQ107">
        <f t="shared" ca="1" si="375"/>
        <v>0</v>
      </c>
      <c r="KY107" s="97"/>
      <c r="LF107">
        <f t="shared" ca="1" si="376"/>
        <v>0</v>
      </c>
      <c r="LG107">
        <f t="shared" si="377"/>
        <v>0</v>
      </c>
      <c r="LH107">
        <f t="shared" ca="1" si="378"/>
        <v>1</v>
      </c>
      <c r="LI107">
        <f t="shared" si="379"/>
        <v>0</v>
      </c>
      <c r="LJ107">
        <f t="shared" ca="1" si="380"/>
        <v>0</v>
      </c>
      <c r="LR107" s="97"/>
      <c r="LY107">
        <f t="shared" ca="1" si="381"/>
        <v>0</v>
      </c>
      <c r="LZ107">
        <f t="shared" si="382"/>
        <v>0</v>
      </c>
      <c r="MA107">
        <f t="shared" ca="1" si="383"/>
        <v>1</v>
      </c>
      <c r="MB107">
        <f t="shared" si="384"/>
        <v>0</v>
      </c>
      <c r="MC107">
        <f t="shared" ca="1" si="385"/>
        <v>0</v>
      </c>
    </row>
    <row r="108" spans="1:341" x14ac:dyDescent="0.2">
      <c r="A108" t="s">
        <v>239</v>
      </c>
      <c r="N108">
        <f t="shared" si="296"/>
        <v>0</v>
      </c>
      <c r="O108">
        <f t="shared" ca="1" si="297"/>
        <v>0</v>
      </c>
      <c r="P108">
        <f t="shared" si="298"/>
        <v>0</v>
      </c>
      <c r="Q108">
        <f t="shared" ca="1" si="299"/>
        <v>1</v>
      </c>
      <c r="R108">
        <f t="shared" ca="1" si="300"/>
        <v>0</v>
      </c>
      <c r="AG108">
        <f t="shared" si="301"/>
        <v>0</v>
      </c>
      <c r="AH108">
        <f t="shared" ca="1" si="302"/>
        <v>0</v>
      </c>
      <c r="AI108">
        <f t="shared" si="303"/>
        <v>0</v>
      </c>
      <c r="AJ108">
        <f t="shared" ca="1" si="304"/>
        <v>1</v>
      </c>
      <c r="AK108">
        <f t="shared" ca="1" si="305"/>
        <v>0</v>
      </c>
      <c r="AZ108">
        <f t="shared" ca="1" si="306"/>
        <v>0</v>
      </c>
      <c r="BA108">
        <f t="shared" si="307"/>
        <v>0</v>
      </c>
      <c r="BB108">
        <f t="shared" ca="1" si="308"/>
        <v>1</v>
      </c>
      <c r="BC108">
        <f t="shared" si="309"/>
        <v>0</v>
      </c>
      <c r="BD108">
        <f t="shared" ca="1" si="310"/>
        <v>0</v>
      </c>
      <c r="BS108">
        <f t="shared" ca="1" si="311"/>
        <v>0</v>
      </c>
      <c r="BT108">
        <f t="shared" si="312"/>
        <v>0</v>
      </c>
      <c r="BU108">
        <f t="shared" ca="1" si="313"/>
        <v>1</v>
      </c>
      <c r="BV108">
        <f t="shared" si="314"/>
        <v>0</v>
      </c>
      <c r="BW108">
        <f t="shared" ca="1" si="315"/>
        <v>0</v>
      </c>
      <c r="CL108">
        <f t="shared" ca="1" si="316"/>
        <v>0</v>
      </c>
      <c r="CM108">
        <f t="shared" si="317"/>
        <v>0</v>
      </c>
      <c r="CN108">
        <f t="shared" ca="1" si="318"/>
        <v>1</v>
      </c>
      <c r="CO108">
        <f t="shared" si="319"/>
        <v>0</v>
      </c>
      <c r="CP108">
        <f t="shared" ca="1" si="320"/>
        <v>0</v>
      </c>
      <c r="DE108">
        <f t="shared" ca="1" si="321"/>
        <v>0</v>
      </c>
      <c r="DF108">
        <f t="shared" si="322"/>
        <v>0</v>
      </c>
      <c r="DG108">
        <f t="shared" ca="1" si="323"/>
        <v>1</v>
      </c>
      <c r="DH108">
        <f t="shared" si="324"/>
        <v>0</v>
      </c>
      <c r="DI108">
        <f t="shared" ca="1" si="325"/>
        <v>0</v>
      </c>
      <c r="DX108">
        <f t="shared" ca="1" si="326"/>
        <v>0</v>
      </c>
      <c r="DY108">
        <f t="shared" si="327"/>
        <v>0</v>
      </c>
      <c r="DZ108">
        <f t="shared" ca="1" si="328"/>
        <v>1</v>
      </c>
      <c r="EA108">
        <f t="shared" si="329"/>
        <v>0</v>
      </c>
      <c r="EB108">
        <f t="shared" ca="1" si="330"/>
        <v>0</v>
      </c>
      <c r="EQ108">
        <f t="shared" si="331"/>
        <v>0</v>
      </c>
      <c r="ER108">
        <f t="shared" ca="1" si="332"/>
        <v>0</v>
      </c>
      <c r="ES108">
        <f t="shared" si="333"/>
        <v>0</v>
      </c>
      <c r="ET108">
        <f t="shared" ca="1" si="334"/>
        <v>1</v>
      </c>
      <c r="EU108">
        <f t="shared" ca="1" si="335"/>
        <v>0</v>
      </c>
      <c r="FJ108">
        <f t="shared" si="336"/>
        <v>0</v>
      </c>
      <c r="FK108">
        <f t="shared" ca="1" si="337"/>
        <v>0</v>
      </c>
      <c r="FL108">
        <f t="shared" si="338"/>
        <v>0</v>
      </c>
      <c r="FM108">
        <f t="shared" ca="1" si="339"/>
        <v>1</v>
      </c>
      <c r="FN108">
        <f t="shared" ca="1" si="340"/>
        <v>0</v>
      </c>
      <c r="FV108" s="97"/>
      <c r="GC108">
        <f t="shared" si="341"/>
        <v>0</v>
      </c>
      <c r="GD108">
        <f t="shared" ca="1" si="342"/>
        <v>0</v>
      </c>
      <c r="GE108">
        <f t="shared" si="343"/>
        <v>0</v>
      </c>
      <c r="GF108">
        <f t="shared" ca="1" si="344"/>
        <v>1</v>
      </c>
      <c r="GG108">
        <f t="shared" ca="1" si="345"/>
        <v>0</v>
      </c>
      <c r="GO108" s="97"/>
      <c r="GV108">
        <f t="shared" ca="1" si="346"/>
        <v>0</v>
      </c>
      <c r="GW108">
        <f t="shared" si="347"/>
        <v>0</v>
      </c>
      <c r="GX108">
        <f t="shared" ca="1" si="348"/>
        <v>1</v>
      </c>
      <c r="GY108">
        <f t="shared" si="349"/>
        <v>0</v>
      </c>
      <c r="GZ108">
        <f t="shared" ca="1" si="350"/>
        <v>0</v>
      </c>
      <c r="HH108" s="97"/>
      <c r="HO108">
        <f t="shared" ca="1" si="351"/>
        <v>0</v>
      </c>
      <c r="HP108">
        <f t="shared" si="352"/>
        <v>0</v>
      </c>
      <c r="HQ108">
        <f t="shared" ca="1" si="353"/>
        <v>1</v>
      </c>
      <c r="HR108">
        <f t="shared" si="354"/>
        <v>0</v>
      </c>
      <c r="HS108">
        <f t="shared" ca="1" si="355"/>
        <v>0</v>
      </c>
      <c r="IA108" s="97"/>
      <c r="IH108">
        <f t="shared" ca="1" si="356"/>
        <v>0</v>
      </c>
      <c r="II108">
        <f t="shared" si="357"/>
        <v>0</v>
      </c>
      <c r="IJ108">
        <f t="shared" ca="1" si="358"/>
        <v>1</v>
      </c>
      <c r="IK108">
        <f t="shared" si="359"/>
        <v>0</v>
      </c>
      <c r="IL108">
        <f t="shared" ca="1" si="360"/>
        <v>0</v>
      </c>
      <c r="IT108" s="97"/>
      <c r="JA108">
        <f t="shared" ca="1" si="361"/>
        <v>0</v>
      </c>
      <c r="JB108">
        <f t="shared" si="362"/>
        <v>0</v>
      </c>
      <c r="JC108">
        <f t="shared" ca="1" si="363"/>
        <v>1</v>
      </c>
      <c r="JD108">
        <f t="shared" si="364"/>
        <v>0</v>
      </c>
      <c r="JE108">
        <f t="shared" ca="1" si="365"/>
        <v>0</v>
      </c>
      <c r="JM108" s="97"/>
      <c r="JT108">
        <f t="shared" si="366"/>
        <v>0</v>
      </c>
      <c r="JU108">
        <f t="shared" ca="1" si="367"/>
        <v>0</v>
      </c>
      <c r="JV108">
        <f t="shared" si="368"/>
        <v>0</v>
      </c>
      <c r="JW108">
        <f t="shared" ca="1" si="369"/>
        <v>1</v>
      </c>
      <c r="JX108">
        <f t="shared" ca="1" si="370"/>
        <v>0</v>
      </c>
      <c r="KF108" s="97"/>
      <c r="KM108">
        <f t="shared" si="371"/>
        <v>0</v>
      </c>
      <c r="KN108">
        <f t="shared" ca="1" si="372"/>
        <v>0</v>
      </c>
      <c r="KO108">
        <f t="shared" si="373"/>
        <v>0</v>
      </c>
      <c r="KP108">
        <f t="shared" ca="1" si="374"/>
        <v>1</v>
      </c>
      <c r="KQ108">
        <f t="shared" ca="1" si="375"/>
        <v>0</v>
      </c>
      <c r="KY108" s="97"/>
      <c r="LF108">
        <f t="shared" si="376"/>
        <v>0</v>
      </c>
      <c r="LG108">
        <f t="shared" ca="1" si="377"/>
        <v>0</v>
      </c>
      <c r="LH108">
        <f t="shared" si="378"/>
        <v>0</v>
      </c>
      <c r="LI108">
        <f t="shared" ca="1" si="379"/>
        <v>1</v>
      </c>
      <c r="LJ108">
        <f t="shared" ca="1" si="380"/>
        <v>0</v>
      </c>
      <c r="LR108" s="97"/>
      <c r="LY108">
        <f t="shared" si="381"/>
        <v>0</v>
      </c>
      <c r="LZ108">
        <f t="shared" ca="1" si="382"/>
        <v>0</v>
      </c>
      <c r="MA108">
        <f t="shared" si="383"/>
        <v>0</v>
      </c>
      <c r="MB108">
        <f t="shared" ca="1" si="384"/>
        <v>1</v>
      </c>
      <c r="MC108">
        <f t="shared" ca="1" si="385"/>
        <v>0</v>
      </c>
    </row>
    <row r="109" spans="1:341" x14ac:dyDescent="0.2">
      <c r="A109" t="s">
        <v>240</v>
      </c>
      <c r="N109">
        <f t="shared" si="296"/>
        <v>0</v>
      </c>
      <c r="O109">
        <f t="shared" ca="1" si="297"/>
        <v>0</v>
      </c>
      <c r="P109">
        <f t="shared" si="298"/>
        <v>0</v>
      </c>
      <c r="Q109">
        <f t="shared" ca="1" si="299"/>
        <v>1</v>
      </c>
      <c r="R109">
        <f t="shared" ca="1" si="300"/>
        <v>0</v>
      </c>
      <c r="AG109">
        <f t="shared" ca="1" si="301"/>
        <v>0</v>
      </c>
      <c r="AH109">
        <f t="shared" si="302"/>
        <v>0</v>
      </c>
      <c r="AI109">
        <f t="shared" ca="1" si="303"/>
        <v>1</v>
      </c>
      <c r="AJ109">
        <f t="shared" si="304"/>
        <v>0</v>
      </c>
      <c r="AK109">
        <f t="shared" ca="1" si="305"/>
        <v>0</v>
      </c>
      <c r="AZ109">
        <f t="shared" si="306"/>
        <v>0</v>
      </c>
      <c r="BA109">
        <f t="shared" ca="1" si="307"/>
        <v>0</v>
      </c>
      <c r="BB109">
        <f t="shared" si="308"/>
        <v>0</v>
      </c>
      <c r="BC109">
        <f t="shared" ca="1" si="309"/>
        <v>1</v>
      </c>
      <c r="BD109">
        <f t="shared" ca="1" si="310"/>
        <v>0</v>
      </c>
      <c r="BS109">
        <f t="shared" si="311"/>
        <v>0</v>
      </c>
      <c r="BT109">
        <f t="shared" ca="1" si="312"/>
        <v>0</v>
      </c>
      <c r="BU109">
        <f t="shared" si="313"/>
        <v>0</v>
      </c>
      <c r="BV109">
        <f t="shared" ca="1" si="314"/>
        <v>1</v>
      </c>
      <c r="BW109">
        <f t="shared" ca="1" si="315"/>
        <v>0</v>
      </c>
      <c r="CL109">
        <f t="shared" si="316"/>
        <v>0</v>
      </c>
      <c r="CM109">
        <f t="shared" ca="1" si="317"/>
        <v>0</v>
      </c>
      <c r="CN109">
        <f t="shared" si="318"/>
        <v>0</v>
      </c>
      <c r="CO109">
        <f t="shared" ca="1" si="319"/>
        <v>1</v>
      </c>
      <c r="CP109">
        <f t="shared" ca="1" si="320"/>
        <v>0</v>
      </c>
      <c r="DE109">
        <f t="shared" si="321"/>
        <v>0</v>
      </c>
      <c r="DF109">
        <f t="shared" ca="1" si="322"/>
        <v>0</v>
      </c>
      <c r="DG109">
        <f t="shared" si="323"/>
        <v>0</v>
      </c>
      <c r="DH109">
        <f t="shared" ca="1" si="324"/>
        <v>1</v>
      </c>
      <c r="DI109">
        <f t="shared" ca="1" si="325"/>
        <v>0</v>
      </c>
      <c r="DX109">
        <f t="shared" si="326"/>
        <v>0</v>
      </c>
      <c r="DY109">
        <f t="shared" ca="1" si="327"/>
        <v>0</v>
      </c>
      <c r="DZ109">
        <f t="shared" si="328"/>
        <v>0</v>
      </c>
      <c r="EA109">
        <f t="shared" ca="1" si="329"/>
        <v>1</v>
      </c>
      <c r="EB109">
        <f t="shared" ca="1" si="330"/>
        <v>0</v>
      </c>
      <c r="EQ109">
        <f t="shared" ca="1" si="331"/>
        <v>0</v>
      </c>
      <c r="ER109">
        <f t="shared" si="332"/>
        <v>0</v>
      </c>
      <c r="ES109">
        <f t="shared" ca="1" si="333"/>
        <v>1</v>
      </c>
      <c r="ET109">
        <f t="shared" si="334"/>
        <v>0</v>
      </c>
      <c r="EU109">
        <f t="shared" ca="1" si="335"/>
        <v>0</v>
      </c>
      <c r="FJ109">
        <f t="shared" ca="1" si="336"/>
        <v>0</v>
      </c>
      <c r="FK109">
        <f t="shared" si="337"/>
        <v>0</v>
      </c>
      <c r="FL109">
        <f t="shared" ca="1" si="338"/>
        <v>1</v>
      </c>
      <c r="FM109">
        <f t="shared" si="339"/>
        <v>0</v>
      </c>
      <c r="FN109">
        <f t="shared" ca="1" si="340"/>
        <v>0</v>
      </c>
      <c r="FV109" s="97"/>
      <c r="GC109">
        <f t="shared" ca="1" si="341"/>
        <v>0</v>
      </c>
      <c r="GD109">
        <f t="shared" si="342"/>
        <v>0</v>
      </c>
      <c r="GE109">
        <f t="shared" ca="1" si="343"/>
        <v>1</v>
      </c>
      <c r="GF109">
        <f t="shared" si="344"/>
        <v>0</v>
      </c>
      <c r="GG109">
        <f t="shared" ca="1" si="345"/>
        <v>0</v>
      </c>
      <c r="GO109" s="97"/>
      <c r="GV109">
        <f t="shared" si="346"/>
        <v>0</v>
      </c>
      <c r="GW109">
        <f t="shared" ca="1" si="347"/>
        <v>0</v>
      </c>
      <c r="GX109">
        <f t="shared" si="348"/>
        <v>0</v>
      </c>
      <c r="GY109">
        <f t="shared" ca="1" si="349"/>
        <v>1</v>
      </c>
      <c r="GZ109">
        <f t="shared" ca="1" si="350"/>
        <v>0</v>
      </c>
      <c r="HH109" s="97"/>
      <c r="HO109">
        <f t="shared" si="351"/>
        <v>0</v>
      </c>
      <c r="HP109">
        <f t="shared" ca="1" si="352"/>
        <v>0</v>
      </c>
      <c r="HQ109">
        <f t="shared" si="353"/>
        <v>0</v>
      </c>
      <c r="HR109">
        <f t="shared" ca="1" si="354"/>
        <v>1</v>
      </c>
      <c r="HS109">
        <f t="shared" ca="1" si="355"/>
        <v>0</v>
      </c>
      <c r="IA109" s="97"/>
      <c r="IH109">
        <f t="shared" si="356"/>
        <v>0</v>
      </c>
      <c r="II109">
        <f t="shared" ca="1" si="357"/>
        <v>0</v>
      </c>
      <c r="IJ109">
        <f t="shared" si="358"/>
        <v>0</v>
      </c>
      <c r="IK109">
        <f t="shared" ca="1" si="359"/>
        <v>1</v>
      </c>
      <c r="IL109">
        <f t="shared" ca="1" si="360"/>
        <v>0</v>
      </c>
      <c r="IT109" s="97"/>
      <c r="JA109">
        <f t="shared" ca="1" si="361"/>
        <v>0</v>
      </c>
      <c r="JB109">
        <f t="shared" si="362"/>
        <v>0</v>
      </c>
      <c r="JC109">
        <f t="shared" ca="1" si="363"/>
        <v>1</v>
      </c>
      <c r="JD109">
        <f t="shared" si="364"/>
        <v>0</v>
      </c>
      <c r="JE109">
        <f t="shared" ca="1" si="365"/>
        <v>0</v>
      </c>
      <c r="JM109" s="97"/>
      <c r="JT109">
        <f t="shared" ca="1" si="366"/>
        <v>0</v>
      </c>
      <c r="JU109">
        <f t="shared" si="367"/>
        <v>0</v>
      </c>
      <c r="JV109">
        <f t="shared" ca="1" si="368"/>
        <v>1</v>
      </c>
      <c r="JW109">
        <f t="shared" si="369"/>
        <v>0</v>
      </c>
      <c r="JX109">
        <f t="shared" ca="1" si="370"/>
        <v>0</v>
      </c>
      <c r="KF109" s="97"/>
      <c r="KM109">
        <f t="shared" ca="1" si="371"/>
        <v>0</v>
      </c>
      <c r="KN109">
        <f t="shared" si="372"/>
        <v>0</v>
      </c>
      <c r="KO109">
        <f t="shared" ca="1" si="373"/>
        <v>1</v>
      </c>
      <c r="KP109">
        <f t="shared" si="374"/>
        <v>0</v>
      </c>
      <c r="KQ109">
        <f t="shared" ca="1" si="375"/>
        <v>0</v>
      </c>
      <c r="KY109" s="97"/>
      <c r="LF109">
        <f t="shared" ca="1" si="376"/>
        <v>0</v>
      </c>
      <c r="LG109">
        <f t="shared" si="377"/>
        <v>0</v>
      </c>
      <c r="LH109">
        <f t="shared" ca="1" si="378"/>
        <v>1</v>
      </c>
      <c r="LI109">
        <f t="shared" si="379"/>
        <v>0</v>
      </c>
      <c r="LJ109">
        <f t="shared" ca="1" si="380"/>
        <v>0</v>
      </c>
      <c r="LR109" s="97"/>
      <c r="LY109">
        <f t="shared" ca="1" si="381"/>
        <v>0</v>
      </c>
      <c r="LZ109">
        <f t="shared" si="382"/>
        <v>0</v>
      </c>
      <c r="MA109">
        <f t="shared" ca="1" si="383"/>
        <v>1</v>
      </c>
      <c r="MB109">
        <f t="shared" si="384"/>
        <v>0</v>
      </c>
      <c r="MC109">
        <f t="shared" ca="1" si="385"/>
        <v>0</v>
      </c>
    </row>
    <row r="110" spans="1:341" x14ac:dyDescent="0.2">
      <c r="A110" t="s">
        <v>241</v>
      </c>
      <c r="N110">
        <f t="shared" ca="1" si="296"/>
        <v>0</v>
      </c>
      <c r="O110">
        <f t="shared" si="297"/>
        <v>0</v>
      </c>
      <c r="P110">
        <f t="shared" ca="1" si="298"/>
        <v>1</v>
      </c>
      <c r="Q110">
        <f t="shared" si="299"/>
        <v>0</v>
      </c>
      <c r="R110">
        <f t="shared" ca="1" si="300"/>
        <v>0</v>
      </c>
      <c r="AG110">
        <f t="shared" si="301"/>
        <v>0</v>
      </c>
      <c r="AH110">
        <f t="shared" ca="1" si="302"/>
        <v>0</v>
      </c>
      <c r="AI110">
        <f t="shared" si="303"/>
        <v>0</v>
      </c>
      <c r="AJ110">
        <f t="shared" ca="1" si="304"/>
        <v>1</v>
      </c>
      <c r="AK110">
        <f t="shared" ca="1" si="305"/>
        <v>0</v>
      </c>
      <c r="AZ110">
        <f t="shared" ca="1" si="306"/>
        <v>0</v>
      </c>
      <c r="BA110">
        <f t="shared" si="307"/>
        <v>0</v>
      </c>
      <c r="BB110">
        <f t="shared" ca="1" si="308"/>
        <v>1</v>
      </c>
      <c r="BC110">
        <f t="shared" si="309"/>
        <v>0</v>
      </c>
      <c r="BD110">
        <f t="shared" ca="1" si="310"/>
        <v>0</v>
      </c>
      <c r="BS110">
        <f t="shared" ca="1" si="311"/>
        <v>0</v>
      </c>
      <c r="BT110">
        <f t="shared" si="312"/>
        <v>0</v>
      </c>
      <c r="BU110">
        <f t="shared" ca="1" si="313"/>
        <v>1</v>
      </c>
      <c r="BV110">
        <f t="shared" si="314"/>
        <v>0</v>
      </c>
      <c r="BW110">
        <f t="shared" ca="1" si="315"/>
        <v>0</v>
      </c>
      <c r="CL110">
        <f t="shared" ca="1" si="316"/>
        <v>0</v>
      </c>
      <c r="CM110">
        <f t="shared" si="317"/>
        <v>0</v>
      </c>
      <c r="CN110">
        <f t="shared" ca="1" si="318"/>
        <v>1</v>
      </c>
      <c r="CO110">
        <f t="shared" si="319"/>
        <v>0</v>
      </c>
      <c r="CP110">
        <f t="shared" ca="1" si="320"/>
        <v>0</v>
      </c>
      <c r="DE110">
        <f t="shared" ca="1" si="321"/>
        <v>0</v>
      </c>
      <c r="DF110">
        <f t="shared" si="322"/>
        <v>0</v>
      </c>
      <c r="DG110">
        <f t="shared" ca="1" si="323"/>
        <v>1</v>
      </c>
      <c r="DH110">
        <f t="shared" si="324"/>
        <v>0</v>
      </c>
      <c r="DI110">
        <f t="shared" ca="1" si="325"/>
        <v>0</v>
      </c>
      <c r="DX110">
        <f t="shared" ca="1" si="326"/>
        <v>0</v>
      </c>
      <c r="DY110">
        <f t="shared" si="327"/>
        <v>0</v>
      </c>
      <c r="DZ110">
        <f t="shared" ca="1" si="328"/>
        <v>1</v>
      </c>
      <c r="EA110">
        <f t="shared" si="329"/>
        <v>0</v>
      </c>
      <c r="EB110">
        <f t="shared" ca="1" si="330"/>
        <v>0</v>
      </c>
      <c r="EQ110">
        <f t="shared" si="331"/>
        <v>0</v>
      </c>
      <c r="ER110">
        <f t="shared" ca="1" si="332"/>
        <v>0</v>
      </c>
      <c r="ES110">
        <f t="shared" si="333"/>
        <v>0</v>
      </c>
      <c r="ET110">
        <f t="shared" ca="1" si="334"/>
        <v>1</v>
      </c>
      <c r="EU110">
        <f t="shared" ca="1" si="335"/>
        <v>0</v>
      </c>
      <c r="FJ110">
        <f t="shared" si="336"/>
        <v>0</v>
      </c>
      <c r="FK110">
        <f t="shared" ca="1" si="337"/>
        <v>0</v>
      </c>
      <c r="FL110">
        <f t="shared" si="338"/>
        <v>0</v>
      </c>
      <c r="FM110">
        <f t="shared" ca="1" si="339"/>
        <v>1</v>
      </c>
      <c r="FN110">
        <f t="shared" ca="1" si="340"/>
        <v>0</v>
      </c>
      <c r="FV110" s="97"/>
      <c r="GC110">
        <f t="shared" si="341"/>
        <v>0</v>
      </c>
      <c r="GD110">
        <f t="shared" ca="1" si="342"/>
        <v>0</v>
      </c>
      <c r="GE110">
        <f t="shared" si="343"/>
        <v>0</v>
      </c>
      <c r="GF110">
        <f t="shared" ca="1" si="344"/>
        <v>1</v>
      </c>
      <c r="GG110">
        <f t="shared" ca="1" si="345"/>
        <v>0</v>
      </c>
      <c r="GO110" s="97"/>
      <c r="GV110">
        <f t="shared" ca="1" si="346"/>
        <v>0</v>
      </c>
      <c r="GW110">
        <f t="shared" si="347"/>
        <v>0</v>
      </c>
      <c r="GX110">
        <f t="shared" ca="1" si="348"/>
        <v>1</v>
      </c>
      <c r="GY110">
        <f t="shared" si="349"/>
        <v>0</v>
      </c>
      <c r="GZ110">
        <f t="shared" ca="1" si="350"/>
        <v>0</v>
      </c>
      <c r="HH110" s="97"/>
      <c r="HO110">
        <f t="shared" si="351"/>
        <v>0</v>
      </c>
      <c r="HP110">
        <f t="shared" ca="1" si="352"/>
        <v>0</v>
      </c>
      <c r="HQ110">
        <f t="shared" si="353"/>
        <v>0</v>
      </c>
      <c r="HR110">
        <f t="shared" ca="1" si="354"/>
        <v>1</v>
      </c>
      <c r="HS110">
        <f t="shared" ca="1" si="355"/>
        <v>0</v>
      </c>
      <c r="IA110" s="97"/>
      <c r="IH110">
        <f t="shared" ca="1" si="356"/>
        <v>0</v>
      </c>
      <c r="II110">
        <f t="shared" si="357"/>
        <v>0</v>
      </c>
      <c r="IJ110">
        <f t="shared" ca="1" si="358"/>
        <v>1</v>
      </c>
      <c r="IK110">
        <f t="shared" si="359"/>
        <v>0</v>
      </c>
      <c r="IL110">
        <f t="shared" ca="1" si="360"/>
        <v>0</v>
      </c>
      <c r="IT110" s="97"/>
      <c r="JA110">
        <f t="shared" si="361"/>
        <v>0</v>
      </c>
      <c r="JB110">
        <f t="shared" ca="1" si="362"/>
        <v>0</v>
      </c>
      <c r="JC110">
        <f t="shared" si="363"/>
        <v>0</v>
      </c>
      <c r="JD110">
        <f t="shared" ca="1" si="364"/>
        <v>1</v>
      </c>
      <c r="JE110">
        <f t="shared" ca="1" si="365"/>
        <v>0</v>
      </c>
      <c r="JM110" s="97"/>
      <c r="JT110">
        <f t="shared" ca="1" si="366"/>
        <v>0</v>
      </c>
      <c r="JU110">
        <f t="shared" si="367"/>
        <v>0</v>
      </c>
      <c r="JV110">
        <f t="shared" ca="1" si="368"/>
        <v>1</v>
      </c>
      <c r="JW110">
        <f t="shared" si="369"/>
        <v>0</v>
      </c>
      <c r="JX110">
        <f t="shared" ca="1" si="370"/>
        <v>0</v>
      </c>
      <c r="KF110" s="97"/>
      <c r="KM110">
        <f t="shared" si="371"/>
        <v>0</v>
      </c>
      <c r="KN110">
        <f t="shared" ca="1" si="372"/>
        <v>0</v>
      </c>
      <c r="KO110">
        <f t="shared" si="373"/>
        <v>0</v>
      </c>
      <c r="KP110">
        <f t="shared" ca="1" si="374"/>
        <v>1</v>
      </c>
      <c r="KQ110">
        <f t="shared" ca="1" si="375"/>
        <v>0</v>
      </c>
      <c r="KY110" s="97"/>
      <c r="LF110">
        <f t="shared" si="376"/>
        <v>0</v>
      </c>
      <c r="LG110">
        <f t="shared" ca="1" si="377"/>
        <v>0</v>
      </c>
      <c r="LH110">
        <f t="shared" si="378"/>
        <v>0</v>
      </c>
      <c r="LI110">
        <f t="shared" ca="1" si="379"/>
        <v>1</v>
      </c>
      <c r="LJ110">
        <f t="shared" ca="1" si="380"/>
        <v>0</v>
      </c>
      <c r="LR110" s="97"/>
      <c r="LY110">
        <f t="shared" si="381"/>
        <v>0</v>
      </c>
      <c r="LZ110">
        <f t="shared" ca="1" si="382"/>
        <v>0</v>
      </c>
      <c r="MA110">
        <f t="shared" si="383"/>
        <v>0</v>
      </c>
      <c r="MB110">
        <f t="shared" ca="1" si="384"/>
        <v>1</v>
      </c>
      <c r="MC110">
        <f t="shared" ca="1" si="385"/>
        <v>0</v>
      </c>
    </row>
    <row r="111" spans="1:341" x14ac:dyDescent="0.2">
      <c r="A111" t="s">
        <v>242</v>
      </c>
      <c r="N111">
        <f t="shared" si="296"/>
        <v>0</v>
      </c>
      <c r="O111">
        <f t="shared" ca="1" si="297"/>
        <v>0</v>
      </c>
      <c r="P111">
        <f t="shared" si="298"/>
        <v>0</v>
      </c>
      <c r="Q111">
        <f t="shared" ca="1" si="299"/>
        <v>1</v>
      </c>
      <c r="R111">
        <f t="shared" ca="1" si="300"/>
        <v>0</v>
      </c>
      <c r="AG111">
        <f t="shared" ca="1" si="301"/>
        <v>0</v>
      </c>
      <c r="AH111">
        <f t="shared" si="302"/>
        <v>0</v>
      </c>
      <c r="AI111">
        <f t="shared" ca="1" si="303"/>
        <v>1</v>
      </c>
      <c r="AJ111">
        <f t="shared" si="304"/>
        <v>0</v>
      </c>
      <c r="AK111">
        <f t="shared" ca="1" si="305"/>
        <v>0</v>
      </c>
      <c r="AZ111">
        <f t="shared" si="306"/>
        <v>0</v>
      </c>
      <c r="BA111">
        <f t="shared" ca="1" si="307"/>
        <v>0</v>
      </c>
      <c r="BB111">
        <f t="shared" si="308"/>
        <v>0</v>
      </c>
      <c r="BC111">
        <f t="shared" ca="1" si="309"/>
        <v>1</v>
      </c>
      <c r="BD111">
        <f t="shared" ca="1" si="310"/>
        <v>0</v>
      </c>
      <c r="BS111">
        <f t="shared" si="311"/>
        <v>0</v>
      </c>
      <c r="BT111">
        <f t="shared" ca="1" si="312"/>
        <v>0</v>
      </c>
      <c r="BU111">
        <f t="shared" si="313"/>
        <v>0</v>
      </c>
      <c r="BV111">
        <f t="shared" ca="1" si="314"/>
        <v>1</v>
      </c>
      <c r="BW111">
        <f t="shared" ca="1" si="315"/>
        <v>0</v>
      </c>
      <c r="CL111">
        <f t="shared" si="316"/>
        <v>0</v>
      </c>
      <c r="CM111">
        <f t="shared" ca="1" si="317"/>
        <v>0</v>
      </c>
      <c r="CN111">
        <f t="shared" si="318"/>
        <v>0</v>
      </c>
      <c r="CO111">
        <f t="shared" ca="1" si="319"/>
        <v>1</v>
      </c>
      <c r="CP111">
        <f t="shared" ca="1" si="320"/>
        <v>0</v>
      </c>
      <c r="DE111">
        <f t="shared" si="321"/>
        <v>0</v>
      </c>
      <c r="DF111">
        <f t="shared" ca="1" si="322"/>
        <v>0</v>
      </c>
      <c r="DG111">
        <f t="shared" si="323"/>
        <v>0</v>
      </c>
      <c r="DH111">
        <f t="shared" ca="1" si="324"/>
        <v>1</v>
      </c>
      <c r="DI111">
        <f t="shared" ca="1" si="325"/>
        <v>0</v>
      </c>
      <c r="DX111">
        <f t="shared" si="326"/>
        <v>0</v>
      </c>
      <c r="DY111">
        <f t="shared" ca="1" si="327"/>
        <v>0</v>
      </c>
      <c r="DZ111">
        <f t="shared" si="328"/>
        <v>0</v>
      </c>
      <c r="EA111">
        <f t="shared" ca="1" si="329"/>
        <v>1</v>
      </c>
      <c r="EB111">
        <f t="shared" ca="1" si="330"/>
        <v>0</v>
      </c>
      <c r="EQ111">
        <f t="shared" ca="1" si="331"/>
        <v>0</v>
      </c>
      <c r="ER111">
        <f t="shared" si="332"/>
        <v>0</v>
      </c>
      <c r="ES111">
        <f t="shared" ca="1" si="333"/>
        <v>1</v>
      </c>
      <c r="ET111">
        <f t="shared" si="334"/>
        <v>0</v>
      </c>
      <c r="EU111">
        <f t="shared" ca="1" si="335"/>
        <v>0</v>
      </c>
      <c r="FJ111">
        <f t="shared" ca="1" si="336"/>
        <v>0</v>
      </c>
      <c r="FK111">
        <f t="shared" si="337"/>
        <v>0</v>
      </c>
      <c r="FL111">
        <f t="shared" ca="1" si="338"/>
        <v>1</v>
      </c>
      <c r="FM111">
        <f t="shared" si="339"/>
        <v>0</v>
      </c>
      <c r="FN111">
        <f t="shared" ca="1" si="340"/>
        <v>0</v>
      </c>
      <c r="FV111" s="97"/>
      <c r="GC111">
        <f t="shared" ca="1" si="341"/>
        <v>0</v>
      </c>
      <c r="GD111">
        <f t="shared" si="342"/>
        <v>0</v>
      </c>
      <c r="GE111">
        <f t="shared" ca="1" si="343"/>
        <v>1</v>
      </c>
      <c r="GF111">
        <f t="shared" si="344"/>
        <v>0</v>
      </c>
      <c r="GG111">
        <f t="shared" ca="1" si="345"/>
        <v>0</v>
      </c>
      <c r="GO111" s="97"/>
      <c r="GV111">
        <f t="shared" si="346"/>
        <v>0</v>
      </c>
      <c r="GW111">
        <f t="shared" ca="1" si="347"/>
        <v>0</v>
      </c>
      <c r="GX111">
        <f t="shared" si="348"/>
        <v>0</v>
      </c>
      <c r="GY111">
        <f t="shared" ca="1" si="349"/>
        <v>1</v>
      </c>
      <c r="GZ111">
        <f t="shared" ca="1" si="350"/>
        <v>0</v>
      </c>
      <c r="HH111" s="97"/>
      <c r="HO111">
        <f t="shared" ca="1" si="351"/>
        <v>0</v>
      </c>
      <c r="HP111">
        <f t="shared" si="352"/>
        <v>0</v>
      </c>
      <c r="HQ111">
        <f t="shared" ca="1" si="353"/>
        <v>1</v>
      </c>
      <c r="HR111">
        <f t="shared" si="354"/>
        <v>0</v>
      </c>
      <c r="HS111">
        <f t="shared" ca="1" si="355"/>
        <v>0</v>
      </c>
      <c r="IA111" s="97"/>
      <c r="IH111">
        <f t="shared" si="356"/>
        <v>0</v>
      </c>
      <c r="II111">
        <f t="shared" ca="1" si="357"/>
        <v>0</v>
      </c>
      <c r="IJ111">
        <f t="shared" si="358"/>
        <v>0</v>
      </c>
      <c r="IK111">
        <f t="shared" ca="1" si="359"/>
        <v>1</v>
      </c>
      <c r="IL111">
        <f t="shared" ca="1" si="360"/>
        <v>0</v>
      </c>
      <c r="IT111" s="97"/>
      <c r="JA111">
        <f t="shared" ca="1" si="361"/>
        <v>0</v>
      </c>
      <c r="JB111">
        <f t="shared" si="362"/>
        <v>0</v>
      </c>
      <c r="JC111">
        <f t="shared" ca="1" si="363"/>
        <v>1</v>
      </c>
      <c r="JD111">
        <f t="shared" si="364"/>
        <v>0</v>
      </c>
      <c r="JE111">
        <f t="shared" ca="1" si="365"/>
        <v>0</v>
      </c>
      <c r="JM111" s="97"/>
      <c r="JT111">
        <f t="shared" si="366"/>
        <v>0</v>
      </c>
      <c r="JU111">
        <f t="shared" ca="1" si="367"/>
        <v>0</v>
      </c>
      <c r="JV111">
        <f t="shared" si="368"/>
        <v>0</v>
      </c>
      <c r="JW111">
        <f t="shared" ca="1" si="369"/>
        <v>1</v>
      </c>
      <c r="JX111">
        <f t="shared" ca="1" si="370"/>
        <v>0</v>
      </c>
      <c r="KF111" s="97"/>
      <c r="KM111">
        <f t="shared" ca="1" si="371"/>
        <v>0</v>
      </c>
      <c r="KN111">
        <f t="shared" si="372"/>
        <v>0</v>
      </c>
      <c r="KO111">
        <f t="shared" ca="1" si="373"/>
        <v>1</v>
      </c>
      <c r="KP111">
        <f t="shared" si="374"/>
        <v>0</v>
      </c>
      <c r="KQ111">
        <f t="shared" ca="1" si="375"/>
        <v>0</v>
      </c>
      <c r="KY111" s="97"/>
      <c r="LF111">
        <f t="shared" ca="1" si="376"/>
        <v>0</v>
      </c>
      <c r="LG111">
        <f t="shared" si="377"/>
        <v>0</v>
      </c>
      <c r="LH111">
        <f t="shared" ca="1" si="378"/>
        <v>1</v>
      </c>
      <c r="LI111">
        <f t="shared" si="379"/>
        <v>0</v>
      </c>
      <c r="LJ111">
        <f t="shared" ca="1" si="380"/>
        <v>0</v>
      </c>
      <c r="LR111" s="97"/>
      <c r="LY111">
        <f t="shared" ca="1" si="381"/>
        <v>0</v>
      </c>
      <c r="LZ111">
        <f t="shared" si="382"/>
        <v>0</v>
      </c>
      <c r="MA111">
        <f t="shared" ca="1" si="383"/>
        <v>1</v>
      </c>
      <c r="MB111">
        <f t="shared" si="384"/>
        <v>0</v>
      </c>
      <c r="MC111">
        <f t="shared" ca="1" si="385"/>
        <v>0</v>
      </c>
    </row>
    <row r="112" spans="1:341" x14ac:dyDescent="0.2">
      <c r="A112" t="s">
        <v>243</v>
      </c>
      <c r="N112">
        <f t="shared" ca="1" si="296"/>
        <v>0</v>
      </c>
      <c r="O112">
        <f t="shared" si="297"/>
        <v>0</v>
      </c>
      <c r="P112">
        <f t="shared" ca="1" si="298"/>
        <v>1</v>
      </c>
      <c r="Q112">
        <f t="shared" si="299"/>
        <v>0</v>
      </c>
      <c r="R112">
        <f t="shared" ca="1" si="300"/>
        <v>0</v>
      </c>
      <c r="AG112">
        <f t="shared" si="301"/>
        <v>0</v>
      </c>
      <c r="AH112">
        <f t="shared" ca="1" si="302"/>
        <v>0</v>
      </c>
      <c r="AI112">
        <f t="shared" si="303"/>
        <v>0</v>
      </c>
      <c r="AJ112">
        <f t="shared" ca="1" si="304"/>
        <v>1</v>
      </c>
      <c r="AK112">
        <f t="shared" ca="1" si="305"/>
        <v>0</v>
      </c>
      <c r="AZ112">
        <f t="shared" ca="1" si="306"/>
        <v>0</v>
      </c>
      <c r="BA112">
        <f t="shared" si="307"/>
        <v>0</v>
      </c>
      <c r="BB112">
        <f t="shared" ca="1" si="308"/>
        <v>1</v>
      </c>
      <c r="BC112">
        <f t="shared" si="309"/>
        <v>0</v>
      </c>
      <c r="BD112">
        <f t="shared" ca="1" si="310"/>
        <v>0</v>
      </c>
      <c r="BS112">
        <f t="shared" ca="1" si="311"/>
        <v>0</v>
      </c>
      <c r="BT112">
        <f t="shared" si="312"/>
        <v>0</v>
      </c>
      <c r="BU112">
        <f t="shared" ca="1" si="313"/>
        <v>1</v>
      </c>
      <c r="BV112">
        <f t="shared" si="314"/>
        <v>0</v>
      </c>
      <c r="BW112">
        <f t="shared" ca="1" si="315"/>
        <v>0</v>
      </c>
      <c r="CL112">
        <f t="shared" ca="1" si="316"/>
        <v>0</v>
      </c>
      <c r="CM112">
        <f t="shared" si="317"/>
        <v>0</v>
      </c>
      <c r="CN112">
        <f t="shared" ca="1" si="318"/>
        <v>1</v>
      </c>
      <c r="CO112">
        <f t="shared" si="319"/>
        <v>0</v>
      </c>
      <c r="CP112">
        <f t="shared" ca="1" si="320"/>
        <v>0</v>
      </c>
      <c r="DE112">
        <f t="shared" ca="1" si="321"/>
        <v>0</v>
      </c>
      <c r="DF112">
        <f t="shared" si="322"/>
        <v>0</v>
      </c>
      <c r="DG112">
        <f t="shared" ca="1" si="323"/>
        <v>1</v>
      </c>
      <c r="DH112">
        <f t="shared" si="324"/>
        <v>0</v>
      </c>
      <c r="DI112">
        <f t="shared" ca="1" si="325"/>
        <v>0</v>
      </c>
      <c r="DX112">
        <f t="shared" ca="1" si="326"/>
        <v>0</v>
      </c>
      <c r="DY112">
        <f t="shared" si="327"/>
        <v>0</v>
      </c>
      <c r="DZ112">
        <f t="shared" ca="1" si="328"/>
        <v>1</v>
      </c>
      <c r="EA112">
        <f t="shared" si="329"/>
        <v>0</v>
      </c>
      <c r="EB112">
        <f t="shared" ca="1" si="330"/>
        <v>0</v>
      </c>
      <c r="EQ112">
        <f t="shared" si="331"/>
        <v>0</v>
      </c>
      <c r="ER112">
        <f t="shared" ca="1" si="332"/>
        <v>0</v>
      </c>
      <c r="ES112">
        <f t="shared" si="333"/>
        <v>0</v>
      </c>
      <c r="ET112">
        <f t="shared" ca="1" si="334"/>
        <v>1</v>
      </c>
      <c r="EU112">
        <f t="shared" ca="1" si="335"/>
        <v>0</v>
      </c>
      <c r="FJ112">
        <f t="shared" si="336"/>
        <v>0</v>
      </c>
      <c r="FK112">
        <f t="shared" ca="1" si="337"/>
        <v>0</v>
      </c>
      <c r="FL112">
        <f t="shared" si="338"/>
        <v>0</v>
      </c>
      <c r="FM112">
        <f t="shared" ca="1" si="339"/>
        <v>1</v>
      </c>
      <c r="FN112">
        <f t="shared" ca="1" si="340"/>
        <v>0</v>
      </c>
      <c r="FV112" s="97"/>
      <c r="GC112">
        <f t="shared" si="341"/>
        <v>0</v>
      </c>
      <c r="GD112">
        <f t="shared" ca="1" si="342"/>
        <v>0</v>
      </c>
      <c r="GE112">
        <f t="shared" si="343"/>
        <v>0</v>
      </c>
      <c r="GF112">
        <f t="shared" ca="1" si="344"/>
        <v>1</v>
      </c>
      <c r="GG112">
        <f t="shared" ca="1" si="345"/>
        <v>0</v>
      </c>
      <c r="GO112" s="97"/>
      <c r="GV112">
        <f t="shared" ca="1" si="346"/>
        <v>0</v>
      </c>
      <c r="GW112">
        <f t="shared" si="347"/>
        <v>0</v>
      </c>
      <c r="GX112">
        <f t="shared" ca="1" si="348"/>
        <v>1</v>
      </c>
      <c r="GY112">
        <f t="shared" si="349"/>
        <v>0</v>
      </c>
      <c r="GZ112">
        <f t="shared" ca="1" si="350"/>
        <v>0</v>
      </c>
      <c r="HH112" s="97"/>
      <c r="HO112">
        <f t="shared" si="351"/>
        <v>0</v>
      </c>
      <c r="HP112">
        <f t="shared" ca="1" si="352"/>
        <v>0</v>
      </c>
      <c r="HQ112">
        <f t="shared" si="353"/>
        <v>0</v>
      </c>
      <c r="HR112">
        <f t="shared" ca="1" si="354"/>
        <v>1</v>
      </c>
      <c r="HS112">
        <f t="shared" ca="1" si="355"/>
        <v>0</v>
      </c>
      <c r="IA112" s="97"/>
      <c r="IH112">
        <f t="shared" ca="1" si="356"/>
        <v>0</v>
      </c>
      <c r="II112">
        <f t="shared" si="357"/>
        <v>0</v>
      </c>
      <c r="IJ112">
        <f t="shared" ca="1" si="358"/>
        <v>1</v>
      </c>
      <c r="IK112">
        <f t="shared" si="359"/>
        <v>0</v>
      </c>
      <c r="IL112">
        <f t="shared" ca="1" si="360"/>
        <v>0</v>
      </c>
      <c r="IT112" s="97"/>
      <c r="JA112">
        <f t="shared" si="361"/>
        <v>0</v>
      </c>
      <c r="JB112">
        <f t="shared" ca="1" si="362"/>
        <v>0</v>
      </c>
      <c r="JC112">
        <f t="shared" si="363"/>
        <v>0</v>
      </c>
      <c r="JD112">
        <f t="shared" ca="1" si="364"/>
        <v>1</v>
      </c>
      <c r="JE112">
        <f t="shared" ca="1" si="365"/>
        <v>0</v>
      </c>
      <c r="JM112" s="97"/>
      <c r="JT112">
        <f t="shared" ca="1" si="366"/>
        <v>0</v>
      </c>
      <c r="JU112">
        <f t="shared" si="367"/>
        <v>0</v>
      </c>
      <c r="JV112">
        <f t="shared" ca="1" si="368"/>
        <v>1</v>
      </c>
      <c r="JW112">
        <f t="shared" si="369"/>
        <v>0</v>
      </c>
      <c r="JX112">
        <f t="shared" ca="1" si="370"/>
        <v>0</v>
      </c>
      <c r="KF112" s="97"/>
      <c r="KM112">
        <f t="shared" si="371"/>
        <v>0</v>
      </c>
      <c r="KN112">
        <f t="shared" ca="1" si="372"/>
        <v>0</v>
      </c>
      <c r="KO112">
        <f t="shared" si="373"/>
        <v>0</v>
      </c>
      <c r="KP112">
        <f t="shared" ca="1" si="374"/>
        <v>1</v>
      </c>
      <c r="KQ112">
        <f t="shared" ca="1" si="375"/>
        <v>0</v>
      </c>
      <c r="KY112" s="97"/>
      <c r="LF112">
        <f t="shared" si="376"/>
        <v>0</v>
      </c>
      <c r="LG112">
        <f t="shared" ca="1" si="377"/>
        <v>0</v>
      </c>
      <c r="LH112">
        <f t="shared" si="378"/>
        <v>0</v>
      </c>
      <c r="LI112">
        <f t="shared" ca="1" si="379"/>
        <v>1</v>
      </c>
      <c r="LJ112">
        <f t="shared" ca="1" si="380"/>
        <v>0</v>
      </c>
      <c r="LR112" s="97"/>
      <c r="LY112">
        <f t="shared" si="381"/>
        <v>0</v>
      </c>
      <c r="LZ112">
        <f t="shared" ca="1" si="382"/>
        <v>0</v>
      </c>
      <c r="MA112">
        <f t="shared" si="383"/>
        <v>0</v>
      </c>
      <c r="MB112">
        <f t="shared" ca="1" si="384"/>
        <v>1</v>
      </c>
      <c r="MC112">
        <f t="shared" ca="1" si="385"/>
        <v>0</v>
      </c>
    </row>
    <row r="113" spans="1:341" x14ac:dyDescent="0.2">
      <c r="A113" t="s">
        <v>244</v>
      </c>
      <c r="N113">
        <f t="shared" si="296"/>
        <v>0</v>
      </c>
      <c r="O113">
        <f t="shared" ca="1" si="297"/>
        <v>0</v>
      </c>
      <c r="P113">
        <f t="shared" si="298"/>
        <v>0</v>
      </c>
      <c r="Q113">
        <f t="shared" ca="1" si="299"/>
        <v>1</v>
      </c>
      <c r="R113">
        <f t="shared" ca="1" si="300"/>
        <v>0</v>
      </c>
      <c r="AG113">
        <f t="shared" ca="1" si="301"/>
        <v>0</v>
      </c>
      <c r="AH113">
        <f t="shared" si="302"/>
        <v>0</v>
      </c>
      <c r="AI113">
        <f t="shared" ca="1" si="303"/>
        <v>1</v>
      </c>
      <c r="AJ113">
        <f t="shared" si="304"/>
        <v>0</v>
      </c>
      <c r="AK113">
        <f t="shared" ca="1" si="305"/>
        <v>0</v>
      </c>
      <c r="AZ113">
        <f t="shared" si="306"/>
        <v>0</v>
      </c>
      <c r="BA113">
        <f t="shared" ca="1" si="307"/>
        <v>0</v>
      </c>
      <c r="BB113">
        <f t="shared" si="308"/>
        <v>0</v>
      </c>
      <c r="BC113">
        <f t="shared" ca="1" si="309"/>
        <v>1</v>
      </c>
      <c r="BD113">
        <f t="shared" ca="1" si="310"/>
        <v>0</v>
      </c>
      <c r="BS113">
        <f t="shared" ca="1" si="311"/>
        <v>0</v>
      </c>
      <c r="BT113">
        <f t="shared" si="312"/>
        <v>0</v>
      </c>
      <c r="BU113">
        <f t="shared" ca="1" si="313"/>
        <v>1</v>
      </c>
      <c r="BV113">
        <f t="shared" si="314"/>
        <v>0</v>
      </c>
      <c r="BW113">
        <f t="shared" ca="1" si="315"/>
        <v>0</v>
      </c>
      <c r="CL113">
        <f t="shared" si="316"/>
        <v>0</v>
      </c>
      <c r="CM113">
        <f t="shared" ca="1" si="317"/>
        <v>0</v>
      </c>
      <c r="CN113">
        <f t="shared" si="318"/>
        <v>0</v>
      </c>
      <c r="CO113">
        <f t="shared" ca="1" si="319"/>
        <v>1</v>
      </c>
      <c r="CP113">
        <f t="shared" ca="1" si="320"/>
        <v>0</v>
      </c>
      <c r="DE113">
        <f t="shared" si="321"/>
        <v>0</v>
      </c>
      <c r="DF113">
        <f t="shared" ca="1" si="322"/>
        <v>0</v>
      </c>
      <c r="DG113">
        <f t="shared" si="323"/>
        <v>0</v>
      </c>
      <c r="DH113">
        <f t="shared" ca="1" si="324"/>
        <v>1</v>
      </c>
      <c r="DI113">
        <f t="shared" ca="1" si="325"/>
        <v>0</v>
      </c>
      <c r="DX113">
        <f t="shared" si="326"/>
        <v>0</v>
      </c>
      <c r="DY113">
        <f t="shared" ca="1" si="327"/>
        <v>0</v>
      </c>
      <c r="DZ113">
        <f t="shared" si="328"/>
        <v>0</v>
      </c>
      <c r="EA113">
        <f t="shared" ca="1" si="329"/>
        <v>1</v>
      </c>
      <c r="EB113">
        <f t="shared" ca="1" si="330"/>
        <v>0</v>
      </c>
      <c r="EQ113">
        <f t="shared" ca="1" si="331"/>
        <v>0</v>
      </c>
      <c r="ER113">
        <f t="shared" si="332"/>
        <v>0</v>
      </c>
      <c r="ES113">
        <f t="shared" ca="1" si="333"/>
        <v>1</v>
      </c>
      <c r="ET113">
        <f t="shared" si="334"/>
        <v>0</v>
      </c>
      <c r="EU113">
        <f t="shared" ca="1" si="335"/>
        <v>0</v>
      </c>
      <c r="FJ113">
        <f t="shared" ca="1" si="336"/>
        <v>0</v>
      </c>
      <c r="FK113">
        <f t="shared" si="337"/>
        <v>0</v>
      </c>
      <c r="FL113">
        <f t="shared" ca="1" si="338"/>
        <v>1</v>
      </c>
      <c r="FM113">
        <f t="shared" si="339"/>
        <v>0</v>
      </c>
      <c r="FN113">
        <f t="shared" ca="1" si="340"/>
        <v>0</v>
      </c>
      <c r="FV113" s="97"/>
      <c r="GC113">
        <f t="shared" ca="1" si="341"/>
        <v>0</v>
      </c>
      <c r="GD113">
        <f t="shared" si="342"/>
        <v>0</v>
      </c>
      <c r="GE113">
        <f t="shared" ca="1" si="343"/>
        <v>1</v>
      </c>
      <c r="GF113">
        <f t="shared" si="344"/>
        <v>0</v>
      </c>
      <c r="GG113">
        <f t="shared" ca="1" si="345"/>
        <v>0</v>
      </c>
      <c r="GO113" s="97"/>
      <c r="GV113">
        <f t="shared" si="346"/>
        <v>0</v>
      </c>
      <c r="GW113">
        <f t="shared" ca="1" si="347"/>
        <v>0</v>
      </c>
      <c r="GX113">
        <f t="shared" si="348"/>
        <v>0</v>
      </c>
      <c r="GY113">
        <f t="shared" ca="1" si="349"/>
        <v>1</v>
      </c>
      <c r="GZ113">
        <f t="shared" ca="1" si="350"/>
        <v>0</v>
      </c>
      <c r="HH113" s="97"/>
      <c r="HO113">
        <f t="shared" ca="1" si="351"/>
        <v>0</v>
      </c>
      <c r="HP113">
        <f t="shared" si="352"/>
        <v>0</v>
      </c>
      <c r="HQ113">
        <f t="shared" ca="1" si="353"/>
        <v>1</v>
      </c>
      <c r="HR113">
        <f t="shared" si="354"/>
        <v>0</v>
      </c>
      <c r="HS113">
        <f t="shared" ca="1" si="355"/>
        <v>0</v>
      </c>
      <c r="IA113" s="97"/>
      <c r="IH113">
        <f t="shared" si="356"/>
        <v>0</v>
      </c>
      <c r="II113">
        <f t="shared" ca="1" si="357"/>
        <v>0</v>
      </c>
      <c r="IJ113">
        <f t="shared" si="358"/>
        <v>0</v>
      </c>
      <c r="IK113">
        <f t="shared" ca="1" si="359"/>
        <v>1</v>
      </c>
      <c r="IL113">
        <f t="shared" ca="1" si="360"/>
        <v>0</v>
      </c>
      <c r="IT113" s="97"/>
      <c r="JA113">
        <f t="shared" ca="1" si="361"/>
        <v>0</v>
      </c>
      <c r="JB113">
        <f t="shared" si="362"/>
        <v>0</v>
      </c>
      <c r="JC113">
        <f t="shared" ca="1" si="363"/>
        <v>1</v>
      </c>
      <c r="JD113">
        <f t="shared" si="364"/>
        <v>0</v>
      </c>
      <c r="JE113">
        <f t="shared" ca="1" si="365"/>
        <v>0</v>
      </c>
      <c r="JM113" s="97"/>
      <c r="JT113">
        <f t="shared" si="366"/>
        <v>0</v>
      </c>
      <c r="JU113">
        <f t="shared" ca="1" si="367"/>
        <v>0</v>
      </c>
      <c r="JV113">
        <f t="shared" si="368"/>
        <v>0</v>
      </c>
      <c r="JW113">
        <f t="shared" ca="1" si="369"/>
        <v>1</v>
      </c>
      <c r="JX113">
        <f t="shared" ca="1" si="370"/>
        <v>0</v>
      </c>
      <c r="KF113" s="97"/>
      <c r="KM113">
        <f t="shared" ca="1" si="371"/>
        <v>0</v>
      </c>
      <c r="KN113">
        <f t="shared" si="372"/>
        <v>0</v>
      </c>
      <c r="KO113">
        <f t="shared" ca="1" si="373"/>
        <v>1</v>
      </c>
      <c r="KP113">
        <f t="shared" si="374"/>
        <v>0</v>
      </c>
      <c r="KQ113">
        <f t="shared" ca="1" si="375"/>
        <v>0</v>
      </c>
      <c r="KY113" s="97"/>
      <c r="LF113">
        <f t="shared" si="376"/>
        <v>0</v>
      </c>
      <c r="LG113">
        <f t="shared" ca="1" si="377"/>
        <v>0</v>
      </c>
      <c r="LH113">
        <f t="shared" si="378"/>
        <v>0</v>
      </c>
      <c r="LI113">
        <f t="shared" ca="1" si="379"/>
        <v>1</v>
      </c>
      <c r="LJ113">
        <f t="shared" ca="1" si="380"/>
        <v>0</v>
      </c>
      <c r="LR113" s="97"/>
      <c r="LY113">
        <f t="shared" ca="1" si="381"/>
        <v>0</v>
      </c>
      <c r="LZ113">
        <f t="shared" si="382"/>
        <v>0</v>
      </c>
      <c r="MA113">
        <f t="shared" ca="1" si="383"/>
        <v>1</v>
      </c>
      <c r="MB113">
        <f t="shared" si="384"/>
        <v>0</v>
      </c>
      <c r="MC113">
        <f t="shared" ca="1" si="385"/>
        <v>0</v>
      </c>
    </row>
    <row r="114" spans="1:341" x14ac:dyDescent="0.2">
      <c r="A114" t="s">
        <v>245</v>
      </c>
      <c r="N114">
        <f t="shared" ca="1" si="296"/>
        <v>0</v>
      </c>
      <c r="O114">
        <f t="shared" si="297"/>
        <v>0</v>
      </c>
      <c r="P114">
        <f t="shared" ca="1" si="298"/>
        <v>1</v>
      </c>
      <c r="Q114">
        <f t="shared" si="299"/>
        <v>0</v>
      </c>
      <c r="R114">
        <f t="shared" ca="1" si="300"/>
        <v>0</v>
      </c>
      <c r="AG114">
        <f t="shared" si="301"/>
        <v>0</v>
      </c>
      <c r="AH114">
        <f t="shared" ca="1" si="302"/>
        <v>0</v>
      </c>
      <c r="AI114">
        <f t="shared" si="303"/>
        <v>0</v>
      </c>
      <c r="AJ114">
        <f t="shared" ca="1" si="304"/>
        <v>1</v>
      </c>
      <c r="AK114">
        <f t="shared" ca="1" si="305"/>
        <v>0</v>
      </c>
      <c r="AZ114">
        <f t="shared" ca="1" si="306"/>
        <v>0</v>
      </c>
      <c r="BA114">
        <f t="shared" si="307"/>
        <v>0</v>
      </c>
      <c r="BB114">
        <f t="shared" ca="1" si="308"/>
        <v>1</v>
      </c>
      <c r="BC114">
        <f t="shared" si="309"/>
        <v>0</v>
      </c>
      <c r="BD114">
        <f t="shared" ca="1" si="310"/>
        <v>0</v>
      </c>
      <c r="BS114">
        <f t="shared" si="311"/>
        <v>0</v>
      </c>
      <c r="BT114">
        <f t="shared" ca="1" si="312"/>
        <v>0</v>
      </c>
      <c r="BU114">
        <f t="shared" si="313"/>
        <v>0</v>
      </c>
      <c r="BV114">
        <f t="shared" ca="1" si="314"/>
        <v>1</v>
      </c>
      <c r="BW114">
        <f t="shared" ca="1" si="315"/>
        <v>0</v>
      </c>
      <c r="CL114">
        <f t="shared" ca="1" si="316"/>
        <v>0</v>
      </c>
      <c r="CM114">
        <f t="shared" si="317"/>
        <v>0</v>
      </c>
      <c r="CN114">
        <f t="shared" ca="1" si="318"/>
        <v>1</v>
      </c>
      <c r="CO114">
        <f t="shared" si="319"/>
        <v>0</v>
      </c>
      <c r="CP114">
        <f t="shared" ca="1" si="320"/>
        <v>0</v>
      </c>
      <c r="DE114">
        <f t="shared" ca="1" si="321"/>
        <v>0</v>
      </c>
      <c r="DF114">
        <f t="shared" si="322"/>
        <v>0</v>
      </c>
      <c r="DG114">
        <f t="shared" ca="1" si="323"/>
        <v>1</v>
      </c>
      <c r="DH114">
        <f t="shared" si="324"/>
        <v>0</v>
      </c>
      <c r="DI114">
        <f t="shared" ca="1" si="325"/>
        <v>0</v>
      </c>
      <c r="DX114">
        <f t="shared" ca="1" si="326"/>
        <v>0</v>
      </c>
      <c r="DY114">
        <f t="shared" si="327"/>
        <v>0</v>
      </c>
      <c r="DZ114">
        <f t="shared" ca="1" si="328"/>
        <v>1</v>
      </c>
      <c r="EA114">
        <f t="shared" si="329"/>
        <v>0</v>
      </c>
      <c r="EB114">
        <f t="shared" ca="1" si="330"/>
        <v>0</v>
      </c>
      <c r="EQ114">
        <f t="shared" si="331"/>
        <v>0</v>
      </c>
      <c r="ER114">
        <f t="shared" ca="1" si="332"/>
        <v>0</v>
      </c>
      <c r="ES114">
        <f t="shared" si="333"/>
        <v>0</v>
      </c>
      <c r="ET114">
        <f t="shared" ca="1" si="334"/>
        <v>1</v>
      </c>
      <c r="EU114">
        <f t="shared" ca="1" si="335"/>
        <v>0</v>
      </c>
      <c r="FJ114">
        <f t="shared" si="336"/>
        <v>0</v>
      </c>
      <c r="FK114">
        <f t="shared" ca="1" si="337"/>
        <v>0</v>
      </c>
      <c r="FL114">
        <f t="shared" si="338"/>
        <v>0</v>
      </c>
      <c r="FM114">
        <f t="shared" ca="1" si="339"/>
        <v>1</v>
      </c>
      <c r="FN114">
        <f t="shared" ca="1" si="340"/>
        <v>0</v>
      </c>
      <c r="FV114" s="97"/>
      <c r="GC114">
        <f t="shared" si="341"/>
        <v>0</v>
      </c>
      <c r="GD114">
        <f t="shared" ca="1" si="342"/>
        <v>0</v>
      </c>
      <c r="GE114">
        <f t="shared" si="343"/>
        <v>0</v>
      </c>
      <c r="GF114">
        <f t="shared" ca="1" si="344"/>
        <v>1</v>
      </c>
      <c r="GG114">
        <f t="shared" ca="1" si="345"/>
        <v>0</v>
      </c>
      <c r="GO114" s="97"/>
      <c r="GV114">
        <f t="shared" ca="1" si="346"/>
        <v>0</v>
      </c>
      <c r="GW114">
        <f t="shared" si="347"/>
        <v>0</v>
      </c>
      <c r="GX114">
        <f t="shared" ca="1" si="348"/>
        <v>1</v>
      </c>
      <c r="GY114">
        <f t="shared" si="349"/>
        <v>0</v>
      </c>
      <c r="GZ114">
        <f t="shared" ca="1" si="350"/>
        <v>0</v>
      </c>
      <c r="HH114" s="97"/>
      <c r="HO114">
        <f t="shared" si="351"/>
        <v>0</v>
      </c>
      <c r="HP114">
        <f t="shared" ca="1" si="352"/>
        <v>0</v>
      </c>
      <c r="HQ114">
        <f t="shared" si="353"/>
        <v>0</v>
      </c>
      <c r="HR114">
        <f t="shared" ca="1" si="354"/>
        <v>1</v>
      </c>
      <c r="HS114">
        <f t="shared" ca="1" si="355"/>
        <v>0</v>
      </c>
      <c r="IA114" s="97"/>
      <c r="IH114">
        <f t="shared" ca="1" si="356"/>
        <v>0</v>
      </c>
      <c r="II114">
        <f t="shared" si="357"/>
        <v>0</v>
      </c>
      <c r="IJ114">
        <f t="shared" ca="1" si="358"/>
        <v>1</v>
      </c>
      <c r="IK114">
        <f t="shared" si="359"/>
        <v>0</v>
      </c>
      <c r="IL114">
        <f t="shared" ca="1" si="360"/>
        <v>0</v>
      </c>
      <c r="IT114" s="97"/>
      <c r="JA114">
        <f t="shared" si="361"/>
        <v>0</v>
      </c>
      <c r="JB114">
        <f t="shared" ca="1" si="362"/>
        <v>0</v>
      </c>
      <c r="JC114">
        <f t="shared" si="363"/>
        <v>0</v>
      </c>
      <c r="JD114">
        <f t="shared" ca="1" si="364"/>
        <v>1</v>
      </c>
      <c r="JE114">
        <f t="shared" ca="1" si="365"/>
        <v>0</v>
      </c>
      <c r="JM114" s="97"/>
      <c r="JT114">
        <f t="shared" ca="1" si="366"/>
        <v>0</v>
      </c>
      <c r="JU114">
        <f t="shared" si="367"/>
        <v>0</v>
      </c>
      <c r="JV114">
        <f t="shared" ca="1" si="368"/>
        <v>1</v>
      </c>
      <c r="JW114">
        <f t="shared" si="369"/>
        <v>0</v>
      </c>
      <c r="JX114">
        <f t="shared" ca="1" si="370"/>
        <v>0</v>
      </c>
      <c r="KF114" s="97"/>
      <c r="KM114">
        <f t="shared" si="371"/>
        <v>0</v>
      </c>
      <c r="KN114">
        <f t="shared" ca="1" si="372"/>
        <v>0</v>
      </c>
      <c r="KO114">
        <f t="shared" si="373"/>
        <v>0</v>
      </c>
      <c r="KP114">
        <f t="shared" ca="1" si="374"/>
        <v>1</v>
      </c>
      <c r="KQ114">
        <f t="shared" ca="1" si="375"/>
        <v>0</v>
      </c>
      <c r="KY114" s="97"/>
      <c r="LF114">
        <f t="shared" ca="1" si="376"/>
        <v>0</v>
      </c>
      <c r="LG114">
        <f t="shared" si="377"/>
        <v>0</v>
      </c>
      <c r="LH114">
        <f t="shared" ca="1" si="378"/>
        <v>1</v>
      </c>
      <c r="LI114">
        <f t="shared" si="379"/>
        <v>0</v>
      </c>
      <c r="LJ114">
        <f t="shared" ca="1" si="380"/>
        <v>0</v>
      </c>
      <c r="LR114" s="97"/>
      <c r="LY114">
        <f t="shared" si="381"/>
        <v>0</v>
      </c>
      <c r="LZ114">
        <f t="shared" ca="1" si="382"/>
        <v>0</v>
      </c>
      <c r="MA114">
        <f t="shared" si="383"/>
        <v>0</v>
      </c>
      <c r="MB114">
        <f t="shared" ca="1" si="384"/>
        <v>1</v>
      </c>
      <c r="MC114">
        <f t="shared" ca="1" si="385"/>
        <v>0</v>
      </c>
    </row>
    <row r="115" spans="1:341" x14ac:dyDescent="0.2">
      <c r="N115">
        <f ca="1">SUM(N81:N114)</f>
        <v>0</v>
      </c>
      <c r="O115">
        <f ca="1">SUM(O81:O114)</f>
        <v>0</v>
      </c>
      <c r="P115">
        <f ca="1">SUM(P81:P114)</f>
        <v>17</v>
      </c>
      <c r="Q115">
        <f ca="1">SUM(Q81:Q114)</f>
        <v>17</v>
      </c>
      <c r="R115">
        <f ca="1">SUM(R81:R114)</f>
        <v>0</v>
      </c>
      <c r="AG115">
        <f ca="1">SUM(AG81:AG114)</f>
        <v>0</v>
      </c>
      <c r="AH115">
        <f ca="1">SUM(AH81:AH114)</f>
        <v>0</v>
      </c>
      <c r="AI115">
        <f ca="1">SUM(AI81:AI114)</f>
        <v>17</v>
      </c>
      <c r="AJ115">
        <f ca="1">SUM(AJ81:AJ114)</f>
        <v>17</v>
      </c>
      <c r="AK115">
        <f ca="1">SUM(AK81:AK114)</f>
        <v>0</v>
      </c>
      <c r="AZ115">
        <f ca="1">SUM(AZ81:AZ114)</f>
        <v>0</v>
      </c>
      <c r="BA115">
        <f ca="1">SUM(BA81:BA114)</f>
        <v>0</v>
      </c>
      <c r="BB115">
        <f ca="1">SUM(BB81:BB114)</f>
        <v>17</v>
      </c>
      <c r="BC115">
        <f ca="1">SUM(BC81:BC114)</f>
        <v>17</v>
      </c>
      <c r="BD115">
        <f ca="1">SUM(BD81:BD114)</f>
        <v>0</v>
      </c>
      <c r="BS115">
        <f ca="1">SUM(BS81:BS114)</f>
        <v>0</v>
      </c>
      <c r="BT115">
        <f ca="1">SUM(BT81:BT114)</f>
        <v>0</v>
      </c>
      <c r="BU115">
        <f ca="1">SUM(BU81:BU114)</f>
        <v>17</v>
      </c>
      <c r="BV115">
        <f ca="1">SUM(BV81:BV114)</f>
        <v>17</v>
      </c>
      <c r="BW115">
        <f ca="1">SUM(BW81:BW114)</f>
        <v>0</v>
      </c>
      <c r="CL115">
        <f ca="1">SUM(CL81:CL114)</f>
        <v>0</v>
      </c>
      <c r="CM115">
        <f ca="1">SUM(CM81:CM114)</f>
        <v>0</v>
      </c>
      <c r="CN115">
        <f ca="1">SUM(CN81:CN114)</f>
        <v>17</v>
      </c>
      <c r="CO115">
        <f ca="1">SUM(CO81:CO114)</f>
        <v>17</v>
      </c>
      <c r="CP115">
        <f ca="1">SUM(CP81:CP114)</f>
        <v>0</v>
      </c>
      <c r="DE115">
        <f ca="1">SUM(DE81:DE114)</f>
        <v>0</v>
      </c>
      <c r="DF115">
        <f ca="1">SUM(DF81:DF114)</f>
        <v>0</v>
      </c>
      <c r="DG115">
        <f ca="1">SUM(DG81:DG114)</f>
        <v>17</v>
      </c>
      <c r="DH115">
        <f ca="1">SUM(DH81:DH114)</f>
        <v>17</v>
      </c>
      <c r="DI115">
        <f ca="1">SUM(DI81:DI114)</f>
        <v>0</v>
      </c>
      <c r="DX115">
        <f ca="1">SUM(DX81:DX114)</f>
        <v>0</v>
      </c>
      <c r="DY115">
        <f ca="1">SUM(DY81:DY114)</f>
        <v>0</v>
      </c>
      <c r="DZ115">
        <f ca="1">SUM(DZ81:DZ114)</f>
        <v>17</v>
      </c>
      <c r="EA115">
        <f ca="1">SUM(EA81:EA114)</f>
        <v>17</v>
      </c>
      <c r="EB115">
        <f ca="1">SUM(EB81:EB114)</f>
        <v>0</v>
      </c>
      <c r="EQ115">
        <f ca="1">SUM(EQ81:EQ114)</f>
        <v>0</v>
      </c>
      <c r="ER115">
        <f ca="1">SUM(ER81:ER114)</f>
        <v>0</v>
      </c>
      <c r="ES115">
        <f ca="1">SUM(ES81:ES114)</f>
        <v>17</v>
      </c>
      <c r="ET115">
        <f ca="1">SUM(ET81:ET114)</f>
        <v>17</v>
      </c>
      <c r="EU115">
        <f ca="1">SUM(EU81:EU114)</f>
        <v>0</v>
      </c>
      <c r="FJ115">
        <f ca="1">SUM(FJ81:FJ114)</f>
        <v>0</v>
      </c>
      <c r="FK115">
        <f ca="1">SUM(FK81:FK114)</f>
        <v>0</v>
      </c>
      <c r="FL115">
        <f ca="1">SUM(FL81:FL114)</f>
        <v>17</v>
      </c>
      <c r="FM115">
        <f ca="1">SUM(FM81:FM114)</f>
        <v>17</v>
      </c>
      <c r="FN115">
        <f ca="1">SUM(FN81:FN114)</f>
        <v>0</v>
      </c>
      <c r="FV115" s="97"/>
      <c r="GC115">
        <f ca="1">SUM(GC81:GC114)</f>
        <v>0</v>
      </c>
      <c r="GD115">
        <f ca="1">SUM(GD81:GD114)</f>
        <v>0</v>
      </c>
      <c r="GE115">
        <f ca="1">SUM(GE81:GE114)</f>
        <v>17</v>
      </c>
      <c r="GF115">
        <f ca="1">SUM(GF81:GF114)</f>
        <v>17</v>
      </c>
      <c r="GG115">
        <f ca="1">SUM(GG81:GG114)</f>
        <v>0</v>
      </c>
      <c r="GO115" s="97"/>
      <c r="GV115">
        <f ca="1">SUM(GV81:GV114)</f>
        <v>0</v>
      </c>
      <c r="GW115">
        <f ca="1">SUM(GW81:GW114)</f>
        <v>0</v>
      </c>
      <c r="GX115">
        <f ca="1">SUM(GX81:GX114)</f>
        <v>17</v>
      </c>
      <c r="GY115">
        <f ca="1">SUM(GY81:GY114)</f>
        <v>17</v>
      </c>
      <c r="GZ115">
        <f ca="1">SUM(GZ81:GZ114)</f>
        <v>0</v>
      </c>
      <c r="HH115" s="97"/>
      <c r="HO115">
        <f ca="1">SUM(HO81:HO114)</f>
        <v>0</v>
      </c>
      <c r="HP115">
        <f ca="1">SUM(HP81:HP114)</f>
        <v>0</v>
      </c>
      <c r="HQ115">
        <f ca="1">SUM(HQ81:HQ114)</f>
        <v>17</v>
      </c>
      <c r="HR115">
        <f ca="1">SUM(HR81:HR114)</f>
        <v>17</v>
      </c>
      <c r="HS115">
        <f ca="1">SUM(HS81:HS114)</f>
        <v>0</v>
      </c>
      <c r="IA115" s="97"/>
      <c r="IH115">
        <f ca="1">SUM(IH81:IH114)</f>
        <v>0</v>
      </c>
      <c r="II115">
        <f ca="1">SUM(II81:II114)</f>
        <v>0</v>
      </c>
      <c r="IJ115">
        <f ca="1">SUM(IJ81:IJ114)</f>
        <v>17</v>
      </c>
      <c r="IK115">
        <f ca="1">SUM(IK81:IK114)</f>
        <v>17</v>
      </c>
      <c r="IL115">
        <f ca="1">SUM(IL81:IL114)</f>
        <v>0</v>
      </c>
      <c r="IT115" s="97"/>
      <c r="JA115">
        <f ca="1">SUM(JA81:JA114)</f>
        <v>0</v>
      </c>
      <c r="JB115">
        <f ca="1">SUM(JB81:JB114)</f>
        <v>0</v>
      </c>
      <c r="JC115">
        <f ca="1">SUM(JC81:JC114)</f>
        <v>17</v>
      </c>
      <c r="JD115">
        <f ca="1">SUM(JD81:JD114)</f>
        <v>17</v>
      </c>
      <c r="JE115">
        <f ca="1">SUM(JE81:JE114)</f>
        <v>0</v>
      </c>
      <c r="JM115" s="97"/>
      <c r="JT115">
        <f ca="1">SUM(JT81:JT114)</f>
        <v>0</v>
      </c>
      <c r="JU115">
        <f ca="1">SUM(JU81:JU114)</f>
        <v>0</v>
      </c>
      <c r="JV115">
        <f ca="1">SUM(JV81:JV114)</f>
        <v>17</v>
      </c>
      <c r="JW115">
        <f ca="1">SUM(JW81:JW114)</f>
        <v>17</v>
      </c>
      <c r="JX115">
        <f ca="1">SUM(JX81:JX114)</f>
        <v>0</v>
      </c>
      <c r="KF115" s="97"/>
      <c r="KM115">
        <f ca="1">SUM(KM81:KM114)</f>
        <v>0</v>
      </c>
      <c r="KN115">
        <f ca="1">SUM(KN81:KN114)</f>
        <v>0</v>
      </c>
      <c r="KO115">
        <f ca="1">SUM(KO81:KO114)</f>
        <v>17</v>
      </c>
      <c r="KP115">
        <f ca="1">SUM(KP81:KP114)</f>
        <v>17</v>
      </c>
      <c r="KQ115">
        <f ca="1">SUM(KQ81:KQ114)</f>
        <v>0</v>
      </c>
      <c r="KY115" s="97"/>
      <c r="LF115">
        <f ca="1">SUM(LF81:LF114)</f>
        <v>0</v>
      </c>
      <c r="LG115">
        <f ca="1">SUM(LG81:LG114)</f>
        <v>0</v>
      </c>
      <c r="LH115">
        <f ca="1">SUM(LH81:LH114)</f>
        <v>17</v>
      </c>
      <c r="LI115">
        <f ca="1">SUM(LI81:LI114)</f>
        <v>17</v>
      </c>
      <c r="LJ115">
        <f ca="1">SUM(LJ81:LJ114)</f>
        <v>0</v>
      </c>
      <c r="LR115" s="97"/>
      <c r="LY115">
        <f ca="1">SUM(LY81:LY114)</f>
        <v>0</v>
      </c>
      <c r="LZ115">
        <f ca="1">SUM(LZ81:LZ114)</f>
        <v>0</v>
      </c>
      <c r="MA115">
        <f ca="1">SUM(MA81:MA114)</f>
        <v>17</v>
      </c>
      <c r="MB115">
        <f ca="1">SUM(MB81:MB114)</f>
        <v>17</v>
      </c>
      <c r="MC115">
        <f ca="1">SUM(MC81:MC114)</f>
        <v>0</v>
      </c>
    </row>
    <row r="116" spans="1:341" x14ac:dyDescent="0.2">
      <c r="N116" s="142">
        <f ca="1">N115+O115</f>
        <v>0</v>
      </c>
      <c r="O116" s="142"/>
      <c r="P116" s="142" t="e">
        <f ca="1">P115+Q115-#REF!</f>
        <v>#REF!</v>
      </c>
      <c r="Q116" s="142"/>
      <c r="R116">
        <f ca="1">R115</f>
        <v>0</v>
      </c>
      <c r="AG116" s="142">
        <f ca="1">AG115+AH115</f>
        <v>0</v>
      </c>
      <c r="AH116" s="142"/>
      <c r="AI116" s="142" t="e">
        <f ca="1">AI115+AJ115-#REF!</f>
        <v>#REF!</v>
      </c>
      <c r="AJ116" s="142"/>
      <c r="AK116">
        <f ca="1">AK115</f>
        <v>0</v>
      </c>
      <c r="AZ116" s="142">
        <f ca="1">AZ115+BA115</f>
        <v>0</v>
      </c>
      <c r="BA116" s="142"/>
      <c r="BB116" s="142" t="e">
        <f ca="1">BB115+BC115-#REF!</f>
        <v>#REF!</v>
      </c>
      <c r="BC116" s="142"/>
      <c r="BD116">
        <f ca="1">BD115</f>
        <v>0</v>
      </c>
      <c r="BS116" s="142">
        <f ca="1">BS115+BT115</f>
        <v>0</v>
      </c>
      <c r="BT116" s="142"/>
      <c r="BU116" s="142" t="e">
        <f ca="1">BU115+BV115-#REF!</f>
        <v>#REF!</v>
      </c>
      <c r="BV116" s="142"/>
      <c r="BW116">
        <f ca="1">BW115</f>
        <v>0</v>
      </c>
      <c r="CL116" s="142">
        <f ca="1">CL115+CM115</f>
        <v>0</v>
      </c>
      <c r="CM116" s="142"/>
      <c r="CN116" s="142" t="e">
        <f ca="1">CN115+CO115-#REF!</f>
        <v>#REF!</v>
      </c>
      <c r="CO116" s="142"/>
      <c r="CP116">
        <f ca="1">CP115</f>
        <v>0</v>
      </c>
      <c r="DE116" s="142">
        <f ca="1">DE115+DF115</f>
        <v>0</v>
      </c>
      <c r="DF116" s="142"/>
      <c r="DG116" s="142" t="e">
        <f ca="1">DG115+DH115-#REF!</f>
        <v>#REF!</v>
      </c>
      <c r="DH116" s="142"/>
      <c r="DI116">
        <f ca="1">DI115</f>
        <v>0</v>
      </c>
      <c r="DX116" s="142">
        <f ca="1">DX115+DY115</f>
        <v>0</v>
      </c>
      <c r="DY116" s="142"/>
      <c r="DZ116" s="142" t="e">
        <f ca="1">DZ115+EA115-#REF!</f>
        <v>#REF!</v>
      </c>
      <c r="EA116" s="142"/>
      <c r="EB116">
        <f ca="1">EB115</f>
        <v>0</v>
      </c>
      <c r="EQ116" s="142">
        <f ca="1">EQ115+ER115</f>
        <v>0</v>
      </c>
      <c r="ER116" s="142"/>
      <c r="ES116" s="142" t="e">
        <f ca="1">ES115+ET115-#REF!</f>
        <v>#REF!</v>
      </c>
      <c r="ET116" s="142"/>
      <c r="EU116">
        <f ca="1">EU115</f>
        <v>0</v>
      </c>
      <c r="FJ116" s="142">
        <f ca="1">FJ115+FK115</f>
        <v>0</v>
      </c>
      <c r="FK116" s="142"/>
      <c r="FL116" s="142" t="e">
        <f ca="1">FL115+FM115-#REF!</f>
        <v>#REF!</v>
      </c>
      <c r="FM116" s="142"/>
      <c r="FN116">
        <f ca="1">FN115</f>
        <v>0</v>
      </c>
      <c r="GC116" s="142">
        <f ca="1">GC115+GD115</f>
        <v>0</v>
      </c>
      <c r="GD116" s="142"/>
      <c r="GE116" s="142" t="e">
        <f ca="1">GE115+GF115-#REF!</f>
        <v>#REF!</v>
      </c>
      <c r="GF116" s="142"/>
      <c r="GG116">
        <f ca="1">GG115</f>
        <v>0</v>
      </c>
      <c r="GV116" s="142">
        <f ca="1">GV115+GW115</f>
        <v>0</v>
      </c>
      <c r="GW116" s="142"/>
      <c r="GX116" s="142" t="e">
        <f ca="1">GX115+GY115-#REF!</f>
        <v>#REF!</v>
      </c>
      <c r="GY116" s="142"/>
      <c r="GZ116">
        <f ca="1">GZ115</f>
        <v>0</v>
      </c>
      <c r="HO116" s="142">
        <f ca="1">HO115+HP115</f>
        <v>0</v>
      </c>
      <c r="HP116" s="142"/>
      <c r="HQ116" s="142" t="e">
        <f ca="1">HQ115+HR115-#REF!</f>
        <v>#REF!</v>
      </c>
      <c r="HR116" s="142"/>
      <c r="HS116">
        <f ca="1">HS115</f>
        <v>0</v>
      </c>
      <c r="IH116" s="142">
        <f ca="1">IH115+II115</f>
        <v>0</v>
      </c>
      <c r="II116" s="142"/>
      <c r="IJ116" s="142" t="e">
        <f ca="1">IJ115+IK115-#REF!</f>
        <v>#REF!</v>
      </c>
      <c r="IK116" s="142"/>
      <c r="IL116">
        <f ca="1">IL115</f>
        <v>0</v>
      </c>
      <c r="JA116" s="142">
        <f ca="1">JA115+JB115</f>
        <v>0</v>
      </c>
      <c r="JB116" s="142"/>
      <c r="JC116" s="142" t="e">
        <f ca="1">JC115+JD115-#REF!</f>
        <v>#REF!</v>
      </c>
      <c r="JD116" s="142"/>
      <c r="JE116">
        <f ca="1">JE115</f>
        <v>0</v>
      </c>
      <c r="JT116" s="142">
        <f ca="1">JT115+JU115</f>
        <v>0</v>
      </c>
      <c r="JU116" s="142"/>
      <c r="JV116" s="142" t="e">
        <f ca="1">JV115+JW115-#REF!</f>
        <v>#REF!</v>
      </c>
      <c r="JW116" s="142"/>
      <c r="JX116">
        <f ca="1">JX115</f>
        <v>0</v>
      </c>
      <c r="KM116" s="142">
        <f ca="1">KM115+KN115</f>
        <v>0</v>
      </c>
      <c r="KN116" s="142"/>
      <c r="KO116" s="142" t="e">
        <f ca="1">KO115+KP115-#REF!</f>
        <v>#REF!</v>
      </c>
      <c r="KP116" s="142"/>
      <c r="KQ116">
        <f ca="1">KQ115</f>
        <v>0</v>
      </c>
      <c r="LF116" s="142">
        <f ca="1">LF115+LG115</f>
        <v>0</v>
      </c>
      <c r="LG116" s="142"/>
      <c r="LH116" s="142" t="e">
        <f ca="1">LH115+LI115-#REF!</f>
        <v>#REF!</v>
      </c>
      <c r="LI116" s="142"/>
      <c r="LJ116">
        <f ca="1">LJ115</f>
        <v>0</v>
      </c>
      <c r="LY116" s="142">
        <f ca="1">LY115+LZ115</f>
        <v>0</v>
      </c>
      <c r="LZ116" s="142"/>
      <c r="MA116" s="142" t="e">
        <f ca="1">MA115+MB115-#REF!</f>
        <v>#REF!</v>
      </c>
      <c r="MB116" s="142"/>
      <c r="MC116">
        <f ca="1">MC115</f>
        <v>0</v>
      </c>
    </row>
  </sheetData>
  <mergeCells count="90">
    <mergeCell ref="J2:O2"/>
    <mergeCell ref="Q2:T2"/>
    <mergeCell ref="AC2:AH2"/>
    <mergeCell ref="AJ2:AM2"/>
    <mergeCell ref="AV2:BA2"/>
    <mergeCell ref="BC2:BF2"/>
    <mergeCell ref="BO2:BT2"/>
    <mergeCell ref="BV2:BY2"/>
    <mergeCell ref="CH2:CM2"/>
    <mergeCell ref="CO2:CR2"/>
    <mergeCell ref="DA2:DF2"/>
    <mergeCell ref="DH2:DK2"/>
    <mergeCell ref="DT2:DY2"/>
    <mergeCell ref="EA2:ED2"/>
    <mergeCell ref="EM2:ER2"/>
    <mergeCell ref="ET2:EW2"/>
    <mergeCell ref="FF2:FK2"/>
    <mergeCell ref="FM2:FP2"/>
    <mergeCell ref="FY2:GD2"/>
    <mergeCell ref="GF2:GI2"/>
    <mergeCell ref="GR2:GW2"/>
    <mergeCell ref="GY2:HB2"/>
    <mergeCell ref="HK2:HP2"/>
    <mergeCell ref="HR2:HU2"/>
    <mergeCell ref="ID2:II2"/>
    <mergeCell ref="IK2:IN2"/>
    <mergeCell ref="IW2:JB2"/>
    <mergeCell ref="JD2:JG2"/>
    <mergeCell ref="JP2:JU2"/>
    <mergeCell ref="JW2:JZ2"/>
    <mergeCell ref="KI2:KN2"/>
    <mergeCell ref="KP2:KS2"/>
    <mergeCell ref="LB2:LG2"/>
    <mergeCell ref="LI2:LL2"/>
    <mergeCell ref="LU2:LZ2"/>
    <mergeCell ref="MB2:ME2"/>
    <mergeCell ref="E3:G3"/>
    <mergeCell ref="X3:Z3"/>
    <mergeCell ref="AQ3:AS3"/>
    <mergeCell ref="BJ3:BL3"/>
    <mergeCell ref="CC3:CE3"/>
    <mergeCell ref="CV3:CX3"/>
    <mergeCell ref="DO3:DQ3"/>
    <mergeCell ref="EH3:EJ3"/>
    <mergeCell ref="FA3:FC3"/>
    <mergeCell ref="FT3:FV3"/>
    <mergeCell ref="GM3:GO3"/>
    <mergeCell ref="HF3:HH3"/>
    <mergeCell ref="HY3:IA3"/>
    <mergeCell ref="IR3:IT3"/>
    <mergeCell ref="JK3:JM3"/>
    <mergeCell ref="KD3:KF3"/>
    <mergeCell ref="KW3:KY3"/>
    <mergeCell ref="LP3:LR3"/>
    <mergeCell ref="N116:O116"/>
    <mergeCell ref="P116:Q116"/>
    <mergeCell ref="AG116:AH116"/>
    <mergeCell ref="AI116:AJ116"/>
    <mergeCell ref="AZ116:BA116"/>
    <mergeCell ref="BB116:BC116"/>
    <mergeCell ref="BS116:BT116"/>
    <mergeCell ref="BU116:BV116"/>
    <mergeCell ref="CL116:CM116"/>
    <mergeCell ref="CN116:CO116"/>
    <mergeCell ref="DE116:DF116"/>
    <mergeCell ref="DG116:DH116"/>
    <mergeCell ref="DX116:DY116"/>
    <mergeCell ref="DZ116:EA116"/>
    <mergeCell ref="EQ116:ER116"/>
    <mergeCell ref="ES116:ET116"/>
    <mergeCell ref="FJ116:FK116"/>
    <mergeCell ref="FL116:FM116"/>
    <mergeCell ref="GC116:GD116"/>
    <mergeCell ref="GE116:GF116"/>
    <mergeCell ref="GV116:GW116"/>
    <mergeCell ref="GX116:GY116"/>
    <mergeCell ref="HO116:HP116"/>
    <mergeCell ref="HQ116:HR116"/>
    <mergeCell ref="IH116:II116"/>
    <mergeCell ref="IJ116:IK116"/>
    <mergeCell ref="JA116:JB116"/>
    <mergeCell ref="JC116:JD116"/>
    <mergeCell ref="LH116:LI116"/>
    <mergeCell ref="LY116:LZ116"/>
    <mergeCell ref="MA116:MB116"/>
    <mergeCell ref="JT116:JU116"/>
    <mergeCell ref="JV116:JW116"/>
    <mergeCell ref="KM116:KN116"/>
    <mergeCell ref="KO116:KP116"/>
    <mergeCell ref="LF116:LG116"/>
  </mergeCells>
  <conditionalFormatting sqref="U4:V37 AN4:AO37 BG4:BH37 BZ4:CA37 CS4:CT37 DL4:DM37 EE4:EF37 EX4:EY37 B4:C37">
    <cfRule type="expression" dxfId="75" priority="2">
      <formula>ISERROR(B4)</formula>
    </cfRule>
  </conditionalFormatting>
  <conditionalFormatting sqref="J4:O37">
    <cfRule type="cellIs" dxfId="74" priority="3" operator="equal">
      <formula>0</formula>
    </cfRule>
    <cfRule type="expression" dxfId="73" priority="4">
      <formula>NOT(ISERROR(SEARCH("falsch",J4)))</formula>
    </cfRule>
  </conditionalFormatting>
  <conditionalFormatting sqref="Q4:T37">
    <cfRule type="cellIs" dxfId="72" priority="5" operator="equal">
      <formula>0</formula>
    </cfRule>
    <cfRule type="expression" dxfId="71" priority="6">
      <formula>NOT(ISERROR(SEARCH("falsch",Q4)))</formula>
    </cfRule>
  </conditionalFormatting>
  <conditionalFormatting sqref="AC4:AH37">
    <cfRule type="cellIs" dxfId="70" priority="7" operator="equal">
      <formula>0</formula>
    </cfRule>
    <cfRule type="expression" dxfId="69" priority="8">
      <formula>NOT(ISERROR(SEARCH("falsch",AC4)))</formula>
    </cfRule>
  </conditionalFormatting>
  <conditionalFormatting sqref="AJ4:AM37">
    <cfRule type="cellIs" dxfId="68" priority="9" operator="equal">
      <formula>0</formula>
    </cfRule>
    <cfRule type="expression" dxfId="67" priority="10">
      <formula>NOT(ISERROR(SEARCH("falsch",AJ4)))</formula>
    </cfRule>
  </conditionalFormatting>
  <conditionalFormatting sqref="AV4:BA37">
    <cfRule type="cellIs" dxfId="66" priority="11" operator="equal">
      <formula>0</formula>
    </cfRule>
    <cfRule type="expression" dxfId="65" priority="12">
      <formula>NOT(ISERROR(SEARCH("falsch",AV4)))</formula>
    </cfRule>
  </conditionalFormatting>
  <conditionalFormatting sqref="BC4:BF37">
    <cfRule type="cellIs" dxfId="64" priority="13" operator="equal">
      <formula>0</formula>
    </cfRule>
    <cfRule type="expression" dxfId="63" priority="14">
      <formula>NOT(ISERROR(SEARCH("falsch",BC4)))</formula>
    </cfRule>
  </conditionalFormatting>
  <conditionalFormatting sqref="BO4:BT37">
    <cfRule type="cellIs" dxfId="62" priority="15" operator="equal">
      <formula>0</formula>
    </cfRule>
    <cfRule type="expression" dxfId="61" priority="16">
      <formula>NOT(ISERROR(SEARCH("falsch",BO4)))</formula>
    </cfRule>
  </conditionalFormatting>
  <conditionalFormatting sqref="BV4:BY37">
    <cfRule type="cellIs" dxfId="60" priority="17" operator="equal">
      <formula>0</formula>
    </cfRule>
    <cfRule type="expression" dxfId="59" priority="18">
      <formula>NOT(ISERROR(SEARCH("falsch",BV4)))</formula>
    </cfRule>
  </conditionalFormatting>
  <conditionalFormatting sqref="CH4:CM37">
    <cfRule type="cellIs" dxfId="58" priority="19" operator="equal">
      <formula>0</formula>
    </cfRule>
    <cfRule type="expression" dxfId="57" priority="20">
      <formula>NOT(ISERROR(SEARCH("falsch",CH4)))</formula>
    </cfRule>
  </conditionalFormatting>
  <conditionalFormatting sqref="CO4:CR37">
    <cfRule type="cellIs" dxfId="56" priority="21" operator="equal">
      <formula>0</formula>
    </cfRule>
    <cfRule type="expression" dxfId="55" priority="22">
      <formula>NOT(ISERROR(SEARCH("falsch",CO4)))</formula>
    </cfRule>
  </conditionalFormatting>
  <conditionalFormatting sqref="DA4:DF37">
    <cfRule type="cellIs" dxfId="54" priority="23" operator="equal">
      <formula>0</formula>
    </cfRule>
    <cfRule type="expression" dxfId="53" priority="24">
      <formula>NOT(ISERROR(SEARCH("falsch",DA4)))</formula>
    </cfRule>
  </conditionalFormatting>
  <conditionalFormatting sqref="DH4:DK37">
    <cfRule type="cellIs" dxfId="52" priority="25" operator="equal">
      <formula>0</formula>
    </cfRule>
    <cfRule type="expression" dxfId="51" priority="26">
      <formula>NOT(ISERROR(SEARCH("falsch",DH4)))</formula>
    </cfRule>
  </conditionalFormatting>
  <conditionalFormatting sqref="DT4:DY37">
    <cfRule type="cellIs" dxfId="50" priority="27" operator="equal">
      <formula>0</formula>
    </cfRule>
    <cfRule type="expression" dxfId="49" priority="28">
      <formula>NOT(ISERROR(SEARCH("falsch",DT4)))</formula>
    </cfRule>
  </conditionalFormatting>
  <conditionalFormatting sqref="EA4:ED37">
    <cfRule type="cellIs" dxfId="48" priority="29" operator="equal">
      <formula>0</formula>
    </cfRule>
    <cfRule type="expression" dxfId="47" priority="30">
      <formula>NOT(ISERROR(SEARCH("falsch",EA4)))</formula>
    </cfRule>
  </conditionalFormatting>
  <conditionalFormatting sqref="EM4:ER37">
    <cfRule type="cellIs" dxfId="46" priority="31" operator="equal">
      <formula>0</formula>
    </cfRule>
    <cfRule type="expression" dxfId="45" priority="32">
      <formula>NOT(ISERROR(SEARCH("falsch",EM4)))</formula>
    </cfRule>
  </conditionalFormatting>
  <conditionalFormatting sqref="ET4:EW37">
    <cfRule type="cellIs" dxfId="44" priority="33" operator="equal">
      <formula>0</formula>
    </cfRule>
    <cfRule type="expression" dxfId="43" priority="34">
      <formula>NOT(ISERROR(SEARCH("falsch",ET4)))</formula>
    </cfRule>
  </conditionalFormatting>
  <conditionalFormatting sqref="FF4:FK37">
    <cfRule type="cellIs" dxfId="42" priority="35" operator="equal">
      <formula>0</formula>
    </cfRule>
    <cfRule type="expression" dxfId="41" priority="36">
      <formula>NOT(ISERROR(SEARCH("falsch",FF4)))</formula>
    </cfRule>
  </conditionalFormatting>
  <conditionalFormatting sqref="FM4:FP37">
    <cfRule type="cellIs" dxfId="40" priority="37" operator="equal">
      <formula>0</formula>
    </cfRule>
    <cfRule type="expression" dxfId="39" priority="38">
      <formula>NOT(ISERROR(SEARCH("falsch",FM4)))</formula>
    </cfRule>
  </conditionalFormatting>
  <conditionalFormatting sqref="FR4 FQ6:FR37 FQ4:FQ5">
    <cfRule type="expression" dxfId="38" priority="39">
      <formula>ISERROR(FQ4)</formula>
    </cfRule>
  </conditionalFormatting>
  <conditionalFormatting sqref="FR5">
    <cfRule type="expression" dxfId="37" priority="40">
      <formula>ISERROR(FR5)</formula>
    </cfRule>
  </conditionalFormatting>
  <conditionalFormatting sqref="FY4:GD37">
    <cfRule type="cellIs" dxfId="36" priority="41" operator="equal">
      <formula>0</formula>
    </cfRule>
    <cfRule type="expression" dxfId="35" priority="42">
      <formula>NOT(ISERROR(SEARCH("falsch",FY4)))</formula>
    </cfRule>
  </conditionalFormatting>
  <conditionalFormatting sqref="GF4:GI37">
    <cfRule type="cellIs" dxfId="34" priority="43" operator="equal">
      <formula>0</formula>
    </cfRule>
    <cfRule type="expression" dxfId="33" priority="44">
      <formula>NOT(ISERROR(SEARCH("falsch",GF4)))</formula>
    </cfRule>
  </conditionalFormatting>
  <conditionalFormatting sqref="GJ4:GK37 HC4:HD37 HV4:HW37 IO4:IP37 JH4:JI37 KA4:KB37 KT4:KU37 LM4:LN37">
    <cfRule type="expression" dxfId="32" priority="45">
      <formula>ISERROR(GJ4)</formula>
    </cfRule>
  </conditionalFormatting>
  <conditionalFormatting sqref="GR4:GW37">
    <cfRule type="cellIs" dxfId="31" priority="46" operator="equal">
      <formula>0</formula>
    </cfRule>
    <cfRule type="expression" dxfId="30" priority="47">
      <formula>NOT(ISERROR(SEARCH("falsch",GR4)))</formula>
    </cfRule>
  </conditionalFormatting>
  <conditionalFormatting sqref="GY4:HB37">
    <cfRule type="cellIs" dxfId="29" priority="48" operator="equal">
      <formula>0</formula>
    </cfRule>
    <cfRule type="expression" dxfId="28" priority="49">
      <formula>NOT(ISERROR(SEARCH("falsch",GY4)))</formula>
    </cfRule>
  </conditionalFormatting>
  <conditionalFormatting sqref="HK4:HP37">
    <cfRule type="cellIs" dxfId="27" priority="50" operator="equal">
      <formula>0</formula>
    </cfRule>
    <cfRule type="expression" dxfId="26" priority="51">
      <formula>NOT(ISERROR(SEARCH("falsch",HK4)))</formula>
    </cfRule>
  </conditionalFormatting>
  <conditionalFormatting sqref="HR4:HU37">
    <cfRule type="cellIs" dxfId="25" priority="52" operator="equal">
      <formula>0</formula>
    </cfRule>
    <cfRule type="expression" dxfId="24" priority="53">
      <formula>NOT(ISERROR(SEARCH("falsch",HR4)))</formula>
    </cfRule>
  </conditionalFormatting>
  <conditionalFormatting sqref="ID4:II37">
    <cfRule type="cellIs" dxfId="23" priority="54" operator="equal">
      <formula>0</formula>
    </cfRule>
    <cfRule type="expression" dxfId="22" priority="55">
      <formula>NOT(ISERROR(SEARCH("falsch",ID4)))</formula>
    </cfRule>
  </conditionalFormatting>
  <conditionalFormatting sqref="IK4:IN37">
    <cfRule type="cellIs" dxfId="21" priority="56" operator="equal">
      <formula>0</formula>
    </cfRule>
    <cfRule type="expression" dxfId="20" priority="57">
      <formula>NOT(ISERROR(SEARCH("falsch",IK4)))</formula>
    </cfRule>
  </conditionalFormatting>
  <conditionalFormatting sqref="IW4:JB37">
    <cfRule type="cellIs" dxfId="19" priority="58" operator="equal">
      <formula>0</formula>
    </cfRule>
    <cfRule type="expression" dxfId="18" priority="59">
      <formula>NOT(ISERROR(SEARCH("falsch",IW4)))</formula>
    </cfRule>
  </conditionalFormatting>
  <conditionalFormatting sqref="JD4:JG37">
    <cfRule type="cellIs" dxfId="17" priority="60" operator="equal">
      <formula>0</formula>
    </cfRule>
    <cfRule type="expression" dxfId="16" priority="61">
      <formula>NOT(ISERROR(SEARCH("falsch",JD4)))</formula>
    </cfRule>
  </conditionalFormatting>
  <conditionalFormatting sqref="JP4:JU37">
    <cfRule type="cellIs" dxfId="15" priority="62" operator="equal">
      <formula>0</formula>
    </cfRule>
    <cfRule type="expression" dxfId="14" priority="63">
      <formula>NOT(ISERROR(SEARCH("falsch",JP4)))</formula>
    </cfRule>
  </conditionalFormatting>
  <conditionalFormatting sqref="JW4:JZ37">
    <cfRule type="cellIs" dxfId="13" priority="64" operator="equal">
      <formula>0</formula>
    </cfRule>
    <cfRule type="expression" dxfId="12" priority="65">
      <formula>NOT(ISERROR(SEARCH("falsch",JW4)))</formula>
    </cfRule>
  </conditionalFormatting>
  <conditionalFormatting sqref="KI4:KN37">
    <cfRule type="cellIs" dxfId="11" priority="66" operator="equal">
      <formula>0</formula>
    </cfRule>
    <cfRule type="expression" dxfId="10" priority="67">
      <formula>NOT(ISERROR(SEARCH("falsch",KI4)))</formula>
    </cfRule>
  </conditionalFormatting>
  <conditionalFormatting sqref="KP4:KS37">
    <cfRule type="cellIs" dxfId="9" priority="68" operator="equal">
      <formula>0</formula>
    </cfRule>
    <cfRule type="expression" dxfId="8" priority="69">
      <formula>NOT(ISERROR(SEARCH("falsch",KP4)))</formula>
    </cfRule>
  </conditionalFormatting>
  <conditionalFormatting sqref="LB4:LG37">
    <cfRule type="cellIs" dxfId="7" priority="70" operator="equal">
      <formula>0</formula>
    </cfRule>
    <cfRule type="expression" dxfId="6" priority="71">
      <formula>NOT(ISERROR(SEARCH("falsch",LB4)))</formula>
    </cfRule>
  </conditionalFormatting>
  <conditionalFormatting sqref="LI4:LL37">
    <cfRule type="cellIs" dxfId="5" priority="72" operator="equal">
      <formula>0</formula>
    </cfRule>
    <cfRule type="expression" dxfId="4" priority="73">
      <formula>NOT(ISERROR(SEARCH("falsch",LI4)))</formula>
    </cfRule>
  </conditionalFormatting>
  <conditionalFormatting sqref="LU4:LZ37">
    <cfRule type="cellIs" dxfId="3" priority="74" operator="equal">
      <formula>0</formula>
    </cfRule>
    <cfRule type="expression" dxfId="2" priority="75">
      <formula>NOT(ISERROR(SEARCH("falsch",LU4)))</formula>
    </cfRule>
  </conditionalFormatting>
  <conditionalFormatting sqref="MB4:ME37">
    <cfRule type="cellIs" dxfId="1" priority="76" operator="equal">
      <formula>0</formula>
    </cfRule>
    <cfRule type="expression" dxfId="0" priority="77">
      <formula>NOT(ISERROR(SEARCH("falsch",MB4)))</formula>
    </cfRule>
  </conditionalFormatting>
  <pageMargins left="0.78749999999999998" right="0.78749999999999998" top="0.98402777777777795" bottom="0.9840277777777779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26</vt:i4>
      </vt:variant>
    </vt:vector>
  </HeadingPairs>
  <TitlesOfParts>
    <vt:vector size="31" baseType="lpstr">
      <vt:lpstr>Spieltage</vt:lpstr>
      <vt:lpstr>Mannschaften</vt:lpstr>
      <vt:lpstr>Rang</vt:lpstr>
      <vt:lpstr>i1</vt:lpstr>
      <vt:lpstr>i2</vt:lpstr>
      <vt:lpstr>'i1'!Druckbereich</vt:lpstr>
      <vt:lpstr>ß01</vt:lpstr>
      <vt:lpstr>ß02</vt:lpstr>
      <vt:lpstr>ß03</vt:lpstr>
      <vt:lpstr>ß04</vt:lpstr>
      <vt:lpstr>ß05</vt:lpstr>
      <vt:lpstr>ß06</vt:lpstr>
      <vt:lpstr>ß07</vt:lpstr>
      <vt:lpstr>ß08</vt:lpstr>
      <vt:lpstr>ß09</vt:lpstr>
      <vt:lpstr>ß10</vt:lpstr>
      <vt:lpstr>ß101</vt:lpstr>
      <vt:lpstr>ß102</vt:lpstr>
      <vt:lpstr>ß103</vt:lpstr>
      <vt:lpstr>ß104</vt:lpstr>
      <vt:lpstr>ß105</vt:lpstr>
      <vt:lpstr>ß106</vt:lpstr>
      <vt:lpstr>ß107</vt:lpstr>
      <vt:lpstr>ß11</vt:lpstr>
      <vt:lpstr>ß12</vt:lpstr>
      <vt:lpstr>ß13</vt:lpstr>
      <vt:lpstr>ß14</vt:lpstr>
      <vt:lpstr>ß15</vt:lpstr>
      <vt:lpstr>ß16</vt:lpstr>
      <vt:lpstr>ß17</vt:lpstr>
      <vt:lpstr>ß18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Karl-Heinz Nörnberg</dc:creator>
  <dc:description/>
  <cp:lastModifiedBy>Karl-Heinz Nörnberg</cp:lastModifiedBy>
  <cp:revision>30</cp:revision>
  <cp:lastPrinted>2021-06-30T10:06:52Z</cp:lastPrinted>
  <dcterms:created xsi:type="dcterms:W3CDTF">1998-08-21T15:46:49Z</dcterms:created>
  <dcterms:modified xsi:type="dcterms:W3CDTF">2025-07-05T12:36:23Z</dcterms:modified>
  <dc:language>de-DE</dc:language>
</cp:coreProperties>
</file>